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S:\ISO9001\Conflict Minerals\"/>
    </mc:Choice>
  </mc:AlternateContent>
  <xr:revisionPtr revIDLastSave="0" documentId="13_ncr:1_{2B65FCB2-A275-4F73-8B89-985FBE3BE32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27" i="5" s="1"/>
  <c r="R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s="1"/>
  <c r="F113" i="5"/>
  <c r="E113" i="5"/>
  <c r="X113" i="5" s="1"/>
  <c r="R113" i="5"/>
  <c r="H155" i="5"/>
  <c r="R155" i="5"/>
  <c r="J155" i="5"/>
  <c r="I155" i="5"/>
  <c r="E155" i="5"/>
  <c r="X155" i="5" s="1"/>
  <c r="F155" i="5"/>
  <c r="H203" i="5"/>
  <c r="R203" i="5"/>
  <c r="J203" i="5"/>
  <c r="I203" i="5"/>
  <c r="E203" i="5"/>
  <c r="X203" i="5" s="1"/>
  <c r="F203" i="5"/>
  <c r="R249" i="5"/>
  <c r="E249" i="5"/>
  <c r="F24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X23" i="5" s="1"/>
  <c r="AB26" i="5"/>
  <c r="G34" i="5"/>
  <c r="E39" i="5"/>
  <c r="X39" i="5" s="1"/>
  <c r="I46" i="5"/>
  <c r="AB22" i="5"/>
  <c r="R25"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E33" i="5"/>
  <c r="X33" i="5" s="1"/>
  <c r="I34" i="5"/>
  <c r="G39" i="5"/>
  <c r="E49" i="5"/>
  <c r="X49" i="5" s="1"/>
  <c r="I50" i="5"/>
  <c r="E65" i="5"/>
  <c r="X65" i="5" s="1"/>
  <c r="I66" i="5"/>
  <c r="E81" i="5"/>
  <c r="X81" i="5" s="1"/>
  <c r="I82"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AB28" i="5"/>
  <c r="R29"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X5" i="5" s="1"/>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19" i="5"/>
  <c r="AB27" i="5"/>
  <c r="X29" i="5" s="1"/>
  <c r="X24" i="5" s="1"/>
  <c r="R28"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s="1"/>
  <c r="R31"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35" i="5"/>
  <c r="S193" i="5"/>
  <c r="S203" i="5"/>
  <c r="T182" i="5"/>
  <c r="T165" i="5"/>
  <c r="T213" i="5"/>
  <c r="T384"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35" i="5"/>
  <c r="T138" i="5"/>
  <c r="T171" i="5"/>
  <c r="T205" i="5"/>
  <c r="T121" i="5"/>
  <c r="T150" i="5"/>
  <c r="T110" i="5"/>
  <c r="S53" i="5"/>
  <c r="S61" i="5"/>
  <c r="T76" i="5"/>
  <c r="S123" i="5"/>
  <c r="S177" i="5"/>
  <c r="T186" i="5"/>
  <c r="T226" i="5"/>
  <c r="T327" i="5"/>
  <c r="S36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47" i="5"/>
  <c r="T55" i="5"/>
  <c r="S75" i="5"/>
  <c r="T83" i="5"/>
  <c r="T106" i="5"/>
  <c r="T139" i="5"/>
  <c r="T173" i="5"/>
  <c r="T221" i="5"/>
  <c r="T242" i="5"/>
  <c r="S119" i="5"/>
  <c r="S183" i="5"/>
  <c r="T118" i="5"/>
  <c r="S131" i="5"/>
  <c r="S195"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T39" i="5"/>
  <c r="S67" i="5"/>
  <c r="T107" i="5"/>
  <c r="T323"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T145" i="5"/>
  <c r="T177" i="5"/>
  <c r="S81" i="5"/>
  <c r="T157"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1" i="5"/>
  <c r="T59" i="5"/>
  <c r="T79" i="5"/>
  <c r="T99" i="5"/>
  <c r="T170" i="5"/>
  <c r="T203" i="5"/>
  <c r="T210" i="5"/>
  <c r="T274" i="5"/>
  <c r="T153" i="5"/>
  <c r="T351" i="5"/>
  <c r="T222"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S28" i="5"/>
  <c r="T27" i="5"/>
  <c r="S31" i="5"/>
  <c r="T29" i="5"/>
  <c r="T20" i="5"/>
  <c r="T22" i="5"/>
  <c r="S25" i="5"/>
  <c r="S18" i="5"/>
  <c r="S27" i="5"/>
  <c r="T28" i="5"/>
  <c r="T25" i="5"/>
  <c r="T5" i="5"/>
  <c r="T32" i="5"/>
  <c r="S26" i="5"/>
  <c r="T21" i="5"/>
  <c r="S19" i="5"/>
  <c r="T23" i="5"/>
  <c r="T24" i="5"/>
  <c r="T30" i="5"/>
  <c r="T18" i="5"/>
  <c r="T31" i="5"/>
  <c r="T19" i="5"/>
  <c r="T6" i="5"/>
  <c r="T26" i="5"/>
  <c r="C11" i="6" l="1"/>
  <c r="C9" i="6"/>
  <c r="C10" i="6"/>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29" i="5"/>
  <c r="S22" i="5"/>
  <c r="S21" i="5"/>
  <c r="S32" i="5"/>
  <c r="S20" i="5"/>
  <c r="S30" i="5"/>
  <c r="S5" i="5"/>
  <c r="S23" i="5"/>
  <c r="S24" i="5"/>
  <c r="S6"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40"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1" i="5"/>
  <c r="T8" i="5"/>
  <c r="T16" i="5"/>
  <c r="T9" i="5"/>
  <c r="T13" i="5"/>
  <c r="T12" i="5"/>
  <c r="T15" i="5"/>
  <c r="T10" i="5"/>
  <c r="T7" i="5"/>
  <c r="T17" i="5"/>
  <c r="T14" i="5"/>
  <c r="C68" i="6" l="1"/>
  <c r="X13" i="5"/>
  <c r="X10" i="5"/>
  <c r="D65" i="6"/>
  <c r="X9" i="5"/>
  <c r="X12" i="5"/>
  <c r="X14" i="5"/>
  <c r="X17" i="5"/>
  <c r="D66" i="6"/>
  <c r="C67" i="6"/>
  <c r="X11" i="5"/>
  <c r="X15" i="5"/>
  <c r="X8" i="5"/>
  <c r="X7" i="5"/>
  <c r="G69" i="6"/>
  <c r="X16" i="5"/>
  <c r="D55" i="6"/>
  <c r="C55" i="6"/>
  <c r="D56" i="6"/>
  <c r="C56" i="6"/>
  <c r="S17" i="5"/>
  <c r="S14" i="5"/>
  <c r="S8" i="5"/>
  <c r="S15" i="5"/>
  <c r="S11" i="5"/>
  <c r="S13" i="5"/>
  <c r="S10" i="5"/>
  <c r="S9" i="5"/>
  <c r="S12" i="5"/>
  <c r="S16" i="5"/>
  <c r="S7"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<sst xmlns="http://schemas.openxmlformats.org/spreadsheetml/2006/main" count="22228" uniqueCount="15627">
  <si>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</si>
  <si>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</si>
  <si>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</si>
  <si>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</si>
  <si>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</si>
  <si>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</si>
  <si>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</si>
  <si>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</si>
  <si>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</si>
  <si>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</si>
  <si>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</si>
  <si>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</si>
  <si>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</si>
  <si>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</si>
  <si>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</si>
  <si>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</si>
  <si>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</si>
  <si>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</si>
  <si>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</si>
  <si>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</si>
  <si>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</si>
  <si>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</si>
  <si>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</si>
  <si>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</si>
  <si>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</si>
  <si>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</si>
  <si>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</si>
  <si>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</si>
  <si>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</si>
  <si>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</si>
  <si>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</si>
  <si>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</si>
  <si>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</si>
  <si>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</si>
  <si>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</si>
  <si>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</si>
  <si>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</si>
  <si>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</si>
  <si>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</si>
  <si>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</si>
  <si>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</si>
  <si>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</si>
  <si>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</si>
  <si>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</si>
  <si>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</si>
  <si>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</si>
  <si>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</si>
  <si>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</si>
  <si>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</si>
  <si>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</si>
  <si>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</si>
  <si>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</si>
  <si>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</si>
  <si>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</si>
  <si>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</si>
  <si>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</si>
  <si>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</si>
  <si>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</si>
  <si>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</si>
  <si>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</si>
  <si>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</si>
  <si>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</si>
  <si>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</si>
  <si>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</si>
  <si>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</si>
  <si>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</si>
  <si>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</si>
  <si>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</si>
  <si>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</si>
  <si>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</si>
  <si>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</si>
  <si>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</si>
  <si>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</si>
  <si>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</si>
  <si>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</si>
  <si>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</si>
  <si>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</si>
  <si>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</si>
  <si>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</si>
  <si>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</si>
  <si>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</si>
  <si>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</si>
  <si>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</si>
  <si>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</si>
  <si>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</si>
  <si>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</si>
  <si>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</si>
  <si>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</si>
  <si>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</si>
  <si>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</si>
  <si>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</si>
  <si>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</si>
  <si>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</si>
  <si>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</si>
  <si>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</si>
  <si>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</si>
  <si>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</si>
  <si>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</si>
  <si>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</si>
  <si>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</si>
  <si>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</si>
  <si>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</si>
  <si>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</si>
  <si>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</si>
  <si>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</si>
  <si>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</si>
  <si>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</si>
  <si>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</si>
  <si>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</si>
  <si>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</si>
  <si>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</si>
  <si>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</si>
  <si>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</si>
  <si>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</si>
  <si>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</si>
  <si>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</si>
  <si>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</si>
  <si>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</si>
  <si>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</si>
  <si>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</si>
  <si>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</si>
  <si>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</si>
  <si>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</si>
  <si>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</si>
  <si>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</si>
  <si>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</si>
  <si>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</si>
  <si>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</si>
  <si>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</si>
  <si>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</si>
  <si>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</si>
  <si>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</si>
  <si>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</si>
  <si>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</si>
  <si>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</si>
  <si>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</si>
  <si>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</si>
  <si>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</si>
  <si>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</si>
  <si>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</si>
  <si>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</si>
  <si>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</si>
  <si>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</si>
  <si>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</si>
  <si>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</si>
  <si>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</si>
  <si>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</si>
  <si>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</si>
  <si>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</si>
  <si>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</si>
  <si>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</si>
  <si>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</si>
  <si>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</si>
  <si>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</si>
  <si>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</si>
  <si>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</si>
  <si>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</si>
  <si>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</si>
  <si>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</si>
  <si>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</si>
  <si>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</si>
  <si>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</si>
  <si>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</si>
  <si>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</si>
  <si>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</si>
  <si>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</si>
  <si>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</si>
  <si>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</si>
  <si>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</si>
  <si>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</si>
  <si>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</si>
  <si>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</si>
  <si>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</si>
  <si>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</si>
  <si>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</si>
  <si>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</si>
  <si>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</si>
  <si>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</si>
  <si>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</si>
  <si>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</si>
  <si>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</si>
  <si>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</si>
  <si>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</si>
  <si>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</si>
  <si>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</si>
  <si>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</si>
  <si>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</si>
  <si>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</si>
  <si>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</si>
  <si>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</si>
  <si>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</si>
  <si>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</si>
  <si>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</si>
  <si>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</si>
  <si>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</si>
  <si>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</si>
  <si>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</si>
  <si>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</si>
  <si>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</si>
  <si>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</si>
  <si>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</si>
  <si>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</si>
  <si>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</si>
  <si>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</si>
  <si>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</si>
  <si>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</si>
  <si>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</si>
  <si>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</si>
  <si>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</si>
  <si>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</si>
  <si>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</si>
  <si>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</si>
  <si>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</si>
  <si>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</si>
  <si>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</si>
  <si>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</si>
  <si>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</si>
  <si>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</si>
  <si>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</si>
  <si>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</si>
  <si>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</si>
  <si>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</si>
  <si>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</si>
  <si>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</si>
  <si>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</si>
  <si>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</si>
  <si>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</si>
  <si>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</si>
  <si>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</si>
  <si>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</si>
  <si>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</si>
  <si>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</si>
  <si>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</si>
  <si>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</si>
  <si>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</si>
  <si>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</si>
  <si>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</si>
  <si>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</si>
  <si>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</si>
  <si>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</si>
  <si>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</si>
  <si>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</si>
  <si>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</si>
  <si>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</si>
  <si>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</si>
  <si>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</si>
  <si>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</si>
  <si>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</si>
  <si>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</si>
  <si>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</si>
  <si>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</si>
  <si>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</si>
  <si>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</si>
  <si>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</si>
  <si>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</si>
  <si>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</si>
  <si>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</si>
  <si>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</si>
  <si>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</si>
  <si>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</si>
  <si>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</si>
  <si>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</si>
  <si>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</si>
  <si>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</si>
  <si>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</si>
  <si>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</si>
  <si>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</si>
  <si>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</si>
  <si>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</si>
  <si>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</si>
  <si>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</si>
  <si>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</si>
  <si>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</si>
  <si>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</si>
  <si>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</si>
  <si>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</si>
  <si>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</si>
  <si>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</si>
  <si>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</si>
  <si>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</si>
  <si>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</si>
  <si>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</si>
  <si>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</si>
  <si>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</si>
  <si>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</si>
  <si>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</si>
  <si>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</si>
  <si>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</si>
  <si>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</si>
  <si>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</si>
  <si>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</si>
  <si>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</si>
  <si>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</si>
  <si>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</si>
  <si>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</si>
  <si>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</si>
  <si>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</si>
  <si>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</si>
  <si>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</si>
  <si>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</si>
  <si>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</si>
  <si>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</si>
  <si>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</si>
  <si>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</si>
  <si>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</si>
  <si>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</si>
  <si>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</si>
  <si>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</si>
  <si>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</si>
  <si>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</si>
  <si>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</si>
  <si>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</si>
  <si>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</si>
  <si>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</si>
  <si>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</si>
  <si>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</si>
  <si>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</si>
  <si>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</si>
  <si>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</si>
  <si>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</si>
  <si>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</si>
  <si>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</si>
  <si>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</si>
  <si>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</si>
  <si>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</si>
  <si>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</si>
  <si>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</si>
  <si>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</si>
  <si>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</si>
  <si>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</si>
  <si>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</si>
  <si>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</si>
  <si>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</si>
  <si>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</si>
  <si>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</si>
  <si>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</si>
  <si>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</si>
  <si>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</si>
  <si>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</si>
  <si>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</si>
  <si>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</si>
  <si>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</si>
  <si>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</si>
  <si>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</si>
  <si>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</si>
  <si>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</si>
  <si>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</si>
  <si>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</si>
  <si>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</si>
  <si>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</si>
  <si>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</si>
  <si>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</si>
  <si>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</si>
  <si>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</si>
  <si>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</si>
  <si>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</si>
  <si>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</si>
  <si>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</si>
  <si>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</si>
  <si>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</si>
  <si>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</si>
  <si>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</si>
  <si>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</si>
  <si>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</si>
  <si>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</si>
  <si>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</si>
  <si>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</si>
  <si>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</si>
  <si>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</si>
  <si>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</si>
  <si>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</si>
  <si>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</si>
  <si>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</si>
  <si>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</si>
  <si>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</si>
  <si>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</si>
  <si>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</si>
  <si>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</si>
  <si>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</si>
  <si>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</si>
  <si>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</si>
  <si>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</si>
  <si>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</si>
  <si>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</si>
  <si>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</si>
  <si>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</si>
  <si>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</si>
  <si>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</si>
  <si>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</si>
  <si>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</si>
  <si>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</si>
  <si>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</si>
  <si>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</si>
  <si>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</si>
  <si>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</si>
  <si>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</si>
  <si>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</si>
  <si>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</si>
  <si>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</si>
  <si>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</si>
  <si>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</si>
  <si>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</si>
  <si>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</si>
  <si>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</si>
  <si>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</si>
  <si>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</si>
  <si>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</si>
  <si>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</si>
  <si>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</si>
  <si>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</si>
  <si>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</si>
  <si>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</si>
  <si>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</si>
  <si>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</si>
  <si>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</si>
  <si>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</si>
  <si>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</si>
  <si>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</si>
  <si>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</si>
  <si>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</si>
  <si>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</si>
  <si>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</si>
  <si>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</si>
  <si>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</si>
  <si>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</si>
  <si>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</si>
  <si>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</si>
  <si>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</si>
  <si>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</si>
  <si>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</si>
  <si>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</si>
  <si>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</si>
  <si>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</si>
  <si>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</si>
  <si>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</si>
  <si>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</si>
  <si>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</si>
  <si>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</si>
  <si>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</si>
  <si>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</si>
  <si>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</si>
  <si>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</si>
  <si>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</si>
  <si>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</si>
  <si>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</si>
  <si>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</si>
  <si>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</si>
  <si>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</si>
  <si>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</si>
  <si>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</si>
  <si>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</si>
  <si>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</si>
  <si>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</si>
  <si>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</si>
  <si>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</si>
  <si>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</si>
  <si>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</si>
  <si>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</si>
  <si>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</si>
  <si>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</si>
  <si>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</si>
  <si>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</si>
  <si>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</si>
  <si>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</si>
  <si>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</si>
  <si>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</si>
  <si>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</si>
  <si>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</si>
  <si>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</si>
  <si>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</si>
  <si>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</si>
  <si>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</si>
  <si>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</si>
  <si>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</si>
  <si>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</si>
  <si>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</si>
  <si>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</si>
  <si>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</si>
  <si>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</si>
  <si>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</si>
  <si>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</si>
  <si>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</si>
  <si>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</si>
  <si>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</si>
  <si>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</si>
  <si>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</si>
  <si>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</si>
  <si>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</si>
  <si>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</si>
  <si>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</si>
  <si>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</si>
  <si>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</si>
  <si>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</si>
  <si>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</si>
  <si>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</si>
  <si>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</si>
  <si>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</si>
  <si>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</si>
  <si>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</si>
  <si>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</si>
  <si>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</si>
  <si>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</si>
  <si>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</si>
  <si>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</si>
  <si>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</si>
  <si>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</si>
  <si>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</si>
  <si>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</si>
  <si>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</si>
  <si>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</si>
  <si>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</si>
  <si>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</si>
  <si>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</si>
  <si>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</si>
  <si>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</si>
  <si>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</si>
  <si>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</si>
  <si>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</si>
  <si>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</si>
  <si>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</si>
  <si>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</si>
  <si>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</si>
  <si>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</si>
  <si>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</si>
  <si>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</si>
  <si>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</si>
  <si>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</si>
  <si>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</si>
  <si>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</si>
  <si>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</si>
  <si>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</si>
  <si>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</si>
  <si>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</si>
  <si>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</si>
  <si>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</si>
  <si>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</si>
  <si>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</si>
  <si>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</si>
  <si>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</si>
  <si>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</si>
  <si>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</si>
  <si>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</si>
  <si>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</si>
  <si>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</si>
  <si>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</si>
  <si>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</si>
  <si>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</si>
  <si>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</si>
  <si>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</si>
  <si>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</si>
  <si>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</si>
  <si>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</si>
  <si>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</si>
  <si>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</si>
  <si>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</si>
  <si>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</si>
  <si>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</si>
  <si>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</si>
  <si>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</si>
  <si>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</si>
  <si>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</si>
  <si>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</si>
  <si>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</si>
  <si>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</si>
  <si>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</si>
  <si>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</si>
  <si>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</si>
  <si>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</si>
  <si>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</si>
  <si>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</si>
  <si>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</si>
  <si>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</si>
  <si>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</si>
  <si>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</si>
  <si>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</si>
  <si>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</si>
  <si>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</si>
  <si>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</si>
  <si>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</si>
  <si>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</si>
  <si>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</si>
  <si>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</si>
  <si>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</si>
  <si>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</si>
  <si>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</si>
  <si>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</si>
  <si>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</si>
  <si>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</si>
  <si>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</si>
  <si>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</si>
  <si>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</si>
  <si>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</si>
  <si>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</si>
  <si>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</si>
  <si>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</si>
  <si>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</si>
  <si>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</si>
  <si>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</si>
  <si>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</si>
  <si>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</si>
  <si>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</si>
  <si>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</si>
  <si>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</si>
  <si>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</si>
  <si>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</si>
  <si>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</si>
  <si>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</si>
  <si>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</si>
  <si>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</si>
  <si>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</si>
  <si>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</si>
  <si>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</si>
  <si>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</si>
  <si>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</si>
  <si>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</si>
  <si>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</si>
  <si>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</si>
  <si>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</si>
  <si>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</si>
  <si>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</si>
  <si>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</si>
  <si>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</si>
  <si>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</si>
  <si>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</si>
  <si>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</si>
  <si>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</si>
  <si>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</si>
  <si>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</si>
  <si>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</si>
  <si>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</si>
  <si>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</si>
  <si>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</si>
  <si>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</si>
  <si>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</si>
  <si>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</si>
  <si>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</si>
  <si>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</si>
  <si>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</si>
  <si>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</si>
  <si>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</si>
  <si>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</si>
  <si>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</si>
  <si>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</si>
  <si>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</si>
  <si>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</si>
  <si>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</si>
  <si>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</si>
  <si>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</si>
  <si>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</si>
  <si>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</si>
  <si>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</si>
  <si>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</si>
  <si>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</si>
  <si>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</si>
  <si>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</si>
  <si>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</si>
  <si>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</si>
  <si>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</si>
  <si>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</si>
  <si>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</si>
  <si>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</si>
  <si>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</si>
  <si>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</si>
  <si>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</si>
  <si>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</si>
  <si>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</si>
  <si>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</si>
  <si>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</si>
  <si>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</si>
  <si>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</si>
  <si>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</si>
  <si>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</si>
  <si>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</si>
  <si>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</si>
  <si>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</si>
  <si>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</si>
  <si>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</si>
  <si>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</si>
  <si>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</si>
  <si>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</si>
  <si>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</si>
  <si>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</si>
  <si>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</si>
  <si>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</si>
  <si>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</si>
  <si>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</si>
  <si>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</si>
  <si>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</si>
  <si>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</si>
  <si>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</si>
  <si>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</si>
  <si>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</si>
  <si>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</si>
  <si>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</si>
  <si>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</si>
  <si>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</si>
  <si>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</si>
  <si>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</si>
  <si>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</si>
  <si>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</si>
  <si>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</si>
  <si>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</si>
  <si>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</si>
  <si>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</si>
  <si>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</si>
  <si>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</si>
  <si>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</si>
  <si>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</si>
  <si>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</si>
  <si>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</si>
  <si>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</si>
  <si>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</si>
  <si>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</si>
  <si>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</si>
  <si>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</si>
  <si>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</si>
  <si>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</si>
  <si>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</si>
  <si>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</si>
  <si>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</si>
  <si>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</si>
  <si>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</si>
  <si>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</si>
  <si>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</si>
  <si>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</si>
  <si>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</si>
  <si>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</si>
  <si>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</si>
  <si>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</si>
  <si>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</si>
  <si>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</si>
  <si>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</si>
  <si>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</si>
  <si>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</si>
  <si>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</si>
  <si>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</si>
  <si>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</si>
  <si>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</si>
  <si>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</si>
  <si>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</si>
  <si>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</si>
  <si>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</si>
  <si>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</si>
  <si>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</si>
  <si>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</si>
  <si>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</si>
  <si>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</si>
  <si>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</si>
  <si>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</si>
  <si>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</si>
  <si>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</si>
  <si>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</si>
  <si>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</si>
  <si>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</si>
  <si>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</si>
  <si>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</si>
  <si>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</si>
  <si>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</si>
  <si>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</si>
  <si>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</si>
  <si>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</si>
  <si>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</si>
  <si>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</si>
  <si>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</si>
  <si>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</si>
  <si>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</si>
  <si>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</si>
  <si>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</si>
  <si>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</si>
  <si>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</si>
  <si>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</si>
  <si>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</si>
  <si>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</si>
  <si>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</si>
  <si>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</si>
  <si>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</si>
  <si>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</si>
  <si>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</si>
  <si>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</si>
  <si>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</si>
  <si>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</si>
  <si>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</si>
  <si>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</si>
  <si>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</si>
  <si>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</si>
  <si>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</si>
  <si>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</si>
  <si>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</si>
  <si>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</si>
  <si>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</si>
  <si>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</si>
  <si>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</si>
  <si>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</si>
  <si>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</si>
  <si>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</si>
  <si>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</si>
  <si>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</si>
  <si>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</si>
  <si>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</si>
  <si>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</si>
  <si>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</si>
  <si>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</si>
  <si>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</si>
  <si>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</si>
  <si>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</si>
  <si>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</si>
  <si>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</si>
  <si>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</si>
  <si>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</si>
  <si>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</si>
  <si>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</si>
  <si>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</si>
  <si>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</si>
  <si>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</si>
  <si>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</si>
  <si>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</si>
  <si>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</si>
  <si>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</si>
  <si>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</si>
  <si>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</si>
  <si>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</si>
  <si>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</si>
  <si>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</si>
  <si>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</si>
  <si>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</si>
  <si>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</si>
  <si>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</si>
  <si>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</si>
  <si>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</si>
  <si>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</si>
  <si>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</si>
  <si>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</si>
  <si>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</si>
  <si>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</si>
  <si>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</si>
  <si>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</si>
  <si>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</si>
  <si>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</si>
  <si>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</si>
  <si>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</si>
  <si>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</si>
  <si>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</si>
  <si>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</si>
  <si>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</si>
  <si>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</si>
  <si>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</si>
  <si>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</si>
  <si>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</si>
  <si>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</si>
  <si>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</si>
  <si>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</si>
  <si>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</si>
  <si>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</si>
  <si>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</si>
  <si>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</si>
  <si>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</si>
  <si>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</si>
  <si>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</si>
  <si>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</si>
  <si>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</si>
  <si>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</si>
  <si>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</si>
  <si>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</si>
  <si>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</si>
  <si>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</si>
  <si>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</si>
  <si>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</si>
  <si>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</si>
  <si>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</si>
  <si>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</si>
  <si>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</si>
  <si>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</si>
  <si>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</si>
  <si>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</si>
  <si>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</si>
  <si>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</si>
  <si>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</si>
  <si>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</si>
  <si>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</si>
  <si>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</si>
  <si>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</si>
  <si>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</si>
  <si>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</si>
  <si>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</si>
  <si>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</si>
  <si>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</si>
  <si>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</si>
  <si>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</si>
  <si>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</si>
  <si>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</si>
  <si>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</si>
  <si>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</si>
  <si>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</si>
  <si>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</si>
  <si>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</si>
  <si>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</si>
  <si>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</si>
  <si>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</si>
  <si>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</si>
  <si>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</si>
  <si>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</si>
  <si>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</si>
  <si>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</si>
  <si>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</si>
  <si>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</si>
  <si>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</si>
  <si>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</si>
  <si>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</si>
  <si>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</si>
  <si>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</si>
  <si>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</si>
  <si>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</si>
  <si>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</si>
  <si>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</si>
  <si>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</si>
  <si>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</si>
  <si>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</si>
  <si>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</si>
  <si>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</si>
  <si>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</si>
  <si>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</si>
  <si>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</si>
  <si>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</si>
  <si>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</si>
  <si>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</si>
  <si>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</si>
  <si>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</si>
  <si>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</si>
  <si>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</si>
  <si>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</si>
  <si>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</si>
  <si>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</si>
  <si>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</si>
  <si>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</si>
  <si>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</si>
  <si>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</si>
  <si>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</si>
  <si>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</si>
  <si>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</si>
  <si>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</si>
  <si>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</si>
  <si>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</si>
  <si>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</si>
  <si>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</si>
  <si>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</si>
  <si>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</si>
  <si>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</si>
  <si>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</si>
  <si>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</si>
  <si>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</si>
  <si>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</si>
  <si>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</si>
  <si>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</si>
  <si>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</si>
  <si>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</si>
  <si>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</si>
  <si>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</si>
  <si>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</si>
  <si>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</si>
  <si>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</si>
  <si>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</si>
  <si>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</si>
  <si>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</si>
  <si>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</si>
  <si>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</si>
  <si>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</si>
  <si>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</si>
  <si>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</si>
  <si>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</si>
  <si>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</si>
  <si>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</si>
  <si>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</si>
  <si>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</si>
  <si>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</si>
  <si>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</si>
  <si>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</si>
  <si>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</si>
  <si>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</si>
  <si>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</si>
  <si>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</si>
  <si>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</si>
  <si>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</si>
  <si>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</si>
  <si>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</si>
  <si>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</si>
  <si>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</si>
  <si>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</si>
  <si>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</si>
  <si>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</si>
  <si>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</si>
  <si>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</si>
  <si>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</si>
  <si>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</si>
  <si>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</si>
  <si>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</si>
  <si>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</si>
  <si>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</si>
  <si>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</si>
  <si>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</si>
  <si>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</si>
  <si>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</si>
  <si>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</si>
  <si>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</si>
  <si>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</si>
  <si>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</si>
  <si>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</si>
  <si>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</si>
  <si>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</si>
  <si>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</si>
  <si>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</si>
  <si>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</si>
  <si>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</si>
  <si>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</si>
  <si>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</si>
  <si>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</si>
  <si>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</si>
  <si>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</si>
  <si>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</si>
  <si>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</si>
  <si>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</si>
  <si>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</si>
  <si>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</si>
  <si>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</si>
  <si>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</si>
  <si>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</si>
  <si>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</si>
  <si>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</si>
  <si>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</si>
  <si>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</si>
  <si>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</si>
  <si>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</si>
  <si>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</si>
  <si>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</si>
  <si>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</si>
  <si>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</si>
  <si>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</si>
  <si>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</si>
  <si>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</si>
  <si>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</si>
  <si>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</si>
  <si>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</si>
  <si>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</si>
  <si>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</si>
  <si>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</si>
  <si>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</si>
  <si>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</si>
  <si>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</si>
  <si>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</si>
  <si>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</si>
  <si>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</si>
  <si>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</si>
  <si>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</si>
  <si>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</si>
  <si>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</si>
  <si>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</si>
  <si>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</si>
  <si>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</si>
  <si>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</si>
  <si>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</si>
  <si>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</si>
  <si>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</si>
  <si>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</si>
  <si>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</si>
  <si>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</si>
  <si>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</si>
  <si>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</si>
  <si>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</si>
  <si>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</si>
  <si>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</si>
  <si>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</si>
  <si>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</si>
  <si>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</si>
  <si>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</si>
  <si>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</si>
  <si>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</si>
  <si>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</si>
  <si>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</si>
  <si>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</si>
  <si>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</si>
  <si>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</si>
  <si>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</si>
  <si>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</si>
  <si>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</si>
  <si>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</si>
  <si>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</si>
  <si>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</si>
  <si>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</si>
  <si>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</si>
  <si>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</si>
  <si>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</si>
  <si>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</si>
  <si>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</si>
  <si>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</si>
  <si>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</si>
  <si>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</si>
  <si>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</si>
  <si>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</si>
  <si>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</si>
  <si>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</si>
  <si>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</si>
  <si>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</si>
  <si>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</si>
  <si>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</si>
  <si>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</si>
  <si>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</si>
  <si>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</si>
  <si>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</si>
  <si>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</si>
  <si>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</si>
  <si>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</si>
  <si>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</si>
  <si>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</si>
  <si>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</si>
  <si>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</si>
  <si>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</si>
  <si>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</si>
  <si>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</si>
  <si>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</si>
  <si>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</si>
  <si>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</si>
  <si>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</si>
  <si>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</si>
  <si>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</si>
  <si>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</si>
  <si>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</si>
  <si>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</si>
  <si>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</si>
  <si>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</si>
  <si>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</si>
  <si>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</si>
  <si>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</si>
  <si>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</si>
  <si>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</si>
  <si>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</si>
  <si>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</si>
  <si>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</si>
  <si>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</si>
  <si>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</si>
  <si>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</si>
  <si>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</si>
  <si>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</si>
  <si>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</si>
  <si>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</si>
  <si>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</si>
  <si>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</si>
  <si>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</si>
  <si>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</si>
  <si>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</si>
  <si>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</si>
  <si>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</si>
  <si>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</si>
  <si>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</si>
  <si>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</si>
  <si>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</si>
  <si>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</si>
  <si>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</si>
  <si>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</si>
  <si>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</si>
  <si>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</si>
  <si>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</si>
  <si>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</si>
  <si>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</si>
  <si>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</si>
  <si>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</si>
  <si>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</si>
  <si>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</si>
  <si>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</si>
  <si>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</si>
  <si>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</si>
  <si>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</si>
  <si>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</si>
  <si>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</si>
  <si>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</si>
  <si>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</si>
  <si>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</si>
  <si>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</si>
  <si>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</si>
  <si>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</si>
  <si>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</si>
  <si>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</si>
  <si>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</si>
  <si>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</si>
  <si>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</si>
  <si>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</si>
  <si>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</si>
  <si>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</si>
  <si>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</si>
  <si>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</si>
  <si>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</si>
  <si>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</si>
  <si>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</si>
  <si>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</si>
  <si>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</si>
  <si>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</si>
  <si>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</si>
  <si>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</si>
  <si>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</si>
  <si>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</si>
  <si>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</si>
  <si>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</si>
  <si>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</si>
  <si>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</si>
  <si>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</si>
  <si>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</si>
  <si>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</si>
  <si>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</si>
  <si>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</si>
  <si>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</si>
  <si>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</si>
  <si>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</si>
  <si>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</si>
  <si>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</si>
  <si>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</si>
  <si>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</si>
  <si>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</si>
  <si>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</si>
  <si>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</si>
  <si>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</si>
  <si>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</si>
  <si>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</si>
  <si>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</si>
  <si>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</si>
  <si>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</si>
  <si>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</si>
  <si>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</si>
  <si>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</si>
  <si>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</si>
  <si>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</si>
  <si>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</si>
  <si>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</si>
  <si>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</si>
  <si>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</si>
  <si>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</si>
  <si>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</si>
  <si>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</si>
  <si>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</si>
  <si>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</si>
  <si>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</si>
  <si>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</si>
  <si>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</si>
  <si>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</si>
  <si>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</si>
  <si>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</si>
  <si>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</si>
  <si>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</si>
  <si>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</si>
  <si>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</si>
  <si>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</si>
  <si>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</si>
  <si>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</si>
  <si>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</si>
  <si>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</si>
  <si>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</si>
  <si>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</si>
  <si>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</si>
  <si>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</si>
  <si>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</si>
  <si>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</si>
  <si>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</si>
  <si>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</si>
  <si>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</si>
  <si>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</si>
  <si>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</si>
  <si>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</si>
  <si>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</si>
  <si>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</si>
  <si>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</si>
  <si>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</si>
  <si>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</si>
  <si>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</si>
  <si>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</si>
  <si>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</si>
  <si>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</si>
  <si>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</si>
  <si>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</si>
  <si>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</si>
  <si>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</si>
  <si>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</si>
  <si>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</si>
  <si>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</si>
  <si>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</si>
  <si>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</si>
  <si>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</si>
  <si>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</si>
  <si>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</si>
  <si>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</si>
  <si>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</si>
  <si>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</si>
  <si>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</si>
  <si>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</si>
  <si>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</si>
  <si>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</si>
  <si>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</si>
  <si>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</si>
  <si>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</si>
  <si>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</si>
  <si>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</si>
  <si>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</si>
  <si>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</si>
  <si>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</si>
  <si>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</si>
  <si>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</si>
  <si>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</si>
  <si>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</si>
  <si>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</si>
  <si>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</si>
  <si>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</si>
  <si>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</si>
  <si>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</si>
  <si>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</si>
  <si>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</si>
  <si>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</si>
  <si>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</si>
  <si>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</si>
  <si>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</si>
  <si>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</si>
  <si>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</si>
  <si>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</si>
  <si>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</si>
  <si>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</si>
  <si>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</si>
  <si>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</si>
  <si>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</si>
  <si>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</si>
  <si>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</si>
  <si>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</si>
  <si>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</si>
  <si>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</si>
  <si>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</si>
  <si>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</si>
  <si>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</si>
  <si>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</si>
  <si>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</si>
  <si>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</si>
  <si>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</si>
  <si>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</si>
  <si>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</si>
  <si>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</si>
  <si>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</si>
  <si>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</si>
  <si>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</si>
  <si>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</si>
  <si>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</si>
  <si>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</si>
  <si>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</si>
  <si>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</si>
  <si>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</si>
  <si>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</si>
  <si>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</si>
  <si>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</si>
  <si>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</si>
  <si>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</si>
  <si>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</si>
  <si>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</si>
  <si>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</si>
  <si>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</si>
  <si>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</si>
  <si>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</si>
  <si>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</si>
  <si>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</si>
  <si>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</si>
  <si>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</si>
  <si>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</si>
  <si>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</si>
  <si>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</si>
  <si>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</si>
  <si>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</si>
  <si>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</si>
  <si>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</si>
  <si>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</si>
  <si>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</si>
  <si>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</si>
  <si>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</si>
  <si>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</si>
  <si>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</si>
  <si>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</si>
  <si>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</si>
  <si>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</si>
  <si>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</si>
  <si>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</si>
  <si>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</si>
  <si>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</si>
  <si>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</si>
  <si>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</si>
  <si>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</si>
  <si>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</si>
  <si>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</si>
  <si>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</si>
  <si>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</si>
  <si>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</si>
  <si>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</si>
  <si>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</si>
  <si>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</si>
  <si>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</si>
  <si>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</si>
  <si>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</si>
  <si>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</si>
  <si>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</si>
  <si>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</si>
  <si>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</si>
  <si>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</si>
  <si>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</si>
  <si>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</si>
  <si>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</si>
  <si>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</si>
  <si>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</si>
  <si>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</si>
  <si>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</si>
  <si>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</si>
  <si>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</si>
  <si>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</si>
  <si>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</si>
  <si>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</si>
  <si>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</si>
  <si>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</si>
  <si>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</si>
  <si>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</si>
  <si>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</si>
  <si>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</si>
  <si>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</si>
  <si>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</si>
  <si>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</si>
  <si>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</si>
  <si>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</si>
  <si>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</si>
  <si>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</si>
  <si>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</si>
  <si>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</si>
  <si>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</si>
  <si>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</si>
  <si>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</si>
  <si>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</si>
  <si>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</si>
  <si>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</si>
  <si>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</si>
  <si>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</si>
  <si>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</si>
  <si>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</si>
  <si>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</si>
  <si>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</si>
  <si>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</si>
  <si>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</si>
  <si>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</si>
  <si>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</si>
  <si>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</si>
  <si>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</si>
  <si>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</si>
  <si>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</si>
  <si>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</si>
  <si>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</si>
  <si>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</si>
  <si>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</si>
  <si>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</si>
  <si>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</si>
  <si>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</si>
  <si>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</si>
  <si>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</si>
  <si>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</si>
  <si>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</si>
  <si>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</si>
  <si>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</si>
  <si>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</si>
  <si>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</si>
  <si>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</si>
  <si>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</si>
  <si>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</si>
  <si>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</si>
  <si>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</si>
  <si>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</si>
  <si>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</si>
  <si>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</si>
  <si>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</si>
  <si>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</si>
  <si>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</si>
  <si>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</si>
  <si>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</si>
  <si>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</si>
  <si>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</si>
  <si>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</si>
  <si>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</si>
  <si>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</si>
  <si>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</si>
  <si>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</si>
  <si>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</si>
  <si>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</si>
  <si>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</si>
  <si>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</si>
  <si>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</si>
  <si>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</si>
  <si>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</si>
  <si>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</si>
  <si>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</si>
  <si>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</si>
  <si>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</si>
  <si>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</si>
  <si>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</si>
  <si>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</si>
  <si>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</si>
  <si>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</si>
  <si>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</si>
  <si>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</si>
  <si>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</si>
  <si>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</si>
  <si>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</si>
  <si>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</si>
  <si>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</si>
  <si>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</si>
  <si>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</si>
  <si>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</si>
  <si>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</si>
  <si>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</si>
  <si>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</si>
  <si>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</si>
  <si>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</si>
  <si>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</si>
  <si>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</si>
  <si>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</si>
  <si>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</si>
  <si>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</si>
  <si>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</si>
  <si>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</si>
  <si>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</si>
  <si>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</si>
  <si>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</si>
  <si>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</si>
  <si>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</si>
  <si>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</si>
  <si>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</si>
  <si>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</si>
  <si>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</si>
  <si>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</si>
  <si>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</si>
  <si>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</si>
  <si>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</si>
  <si>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</si>
  <si>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</si>
  <si>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</si>
  <si>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</si>
  <si>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</si>
  <si>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</si>
  <si>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</si>
  <si>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</si>
  <si>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</si>
  <si>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</si>
  <si>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</si>
  <si>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</si>
  <si>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</si>
  <si>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</si>
  <si>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</si>
  <si>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</si>
  <si>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</si>
  <si>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</si>
  <si>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</si>
  <si>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</si>
  <si>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</si>
  <si>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</si>
  <si>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</si>
  <si>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</si>
  <si>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</si>
  <si>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</si>
  <si>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</si>
  <si>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</si>
  <si>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</si>
  <si>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</si>
  <si>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</si>
  <si>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</si>
  <si>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</si>
  <si>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</si>
  <si>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</si>
  <si>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</si>
  <si>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</si>
  <si>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</si>
  <si>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</si>
  <si>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</si>
  <si>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</si>
  <si>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</si>
  <si>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</si>
  <si>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</si>
  <si>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</si>
  <si>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</si>
  <si>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</si>
  <si>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</si>
  <si>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</si>
  <si>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</si>
  <si>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</si>
  <si>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</si>
  <si>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</si>
  <si>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</si>
  <si>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</si>
  <si>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</si>
  <si>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</si>
  <si>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</si>
  <si>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</si>
  <si>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</si>
  <si>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</si>
  <si>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</si>
  <si>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</si>
  <si>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</si>
  <si>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</si>
  <si>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</si>
  <si>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</si>
  <si>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</si>
  <si>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</si>
  <si>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</si>
  <si>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</si>
  <si>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</si>
  <si>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</si>
  <si>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</si>
  <si>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</si>
  <si>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</si>
  <si>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</si>
  <si>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</si>
  <si>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</si>
  <si>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</si>
  <si>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</si>
  <si>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</si>
  <si>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</si>
  <si>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</si>
  <si>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</si>
  <si>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</si>
  <si>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</si>
  <si>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</si>
  <si>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</si>
  <si>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</si>
  <si>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</si>
  <si>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</si>
  <si>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</si>
  <si>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</si>
  <si>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</si>
  <si>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</si>
  <si>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</si>
  <si>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</si>
  <si>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</si>
  <si>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</si>
  <si>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</si>
  <si>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</si>
  <si>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</si>
  <si>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</si>
  <si>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</si>
  <si>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</si>
  <si>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</si>
  <si>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</si>
  <si>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</si>
  <si>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</si>
  <si>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</si>
  <si>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</si>
  <si>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</si>
  <si>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</si>
  <si>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</si>
  <si>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</si>
  <si>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</si>
  <si>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</si>
  <si>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</si>
  <si>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</si>
  <si>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</si>
  <si>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</si>
  <si>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</si>
  <si>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</si>
  <si>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</si>
  <si>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</si>
  <si>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</si>
  <si>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</si>
  <si>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</si>
  <si>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</si>
  <si>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</si>
  <si>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</si>
  <si>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</si>
  <si>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</si>
  <si>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</si>
  <si>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</si>
  <si>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</si>
  <si>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</si>
  <si>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</si>
  <si>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</si>
  <si>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</si>
  <si>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</si>
  <si>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</si>
  <si>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</si>
  <si>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</si>
  <si>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</si>
  <si>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</si>
  <si>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</si>
  <si>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</si>
  <si>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</si>
  <si>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</si>
  <si>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</si>
  <si>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</si>
  <si>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</si>
  <si>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</si>
  <si>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</si>
  <si>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</si>
  <si>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</si>
  <si>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</si>
  <si>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</si>
  <si>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</si>
  <si>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</si>
  <si>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</si>
  <si>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</si>
  <si>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</si>
  <si>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</si>
  <si>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</si>
  <si>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</si>
  <si>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</si>
  <si>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</si>
  <si>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</si>
  <si>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</si>
  <si>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</si>
  <si>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</si>
  <si>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</si>
  <si>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</si>
  <si>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</si>
  <si>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</si>
  <si>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</si>
  <si>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</si>
  <si>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</si>
  <si>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</si>
  <si>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</si>
  <si>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</si>
  <si>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</si>
  <si>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</si>
  <si>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</si>
  <si>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</si>
  <si>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</si>
  <si>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</si>
  <si>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</si>
  <si>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</si>
  <si>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</si>
  <si>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</si>
  <si>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</si>
  <si>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</si>
  <si>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</si>
  <si>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</si>
  <si>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</si>
  <si>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</si>
  <si>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</si>
  <si>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</si>
  <si>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</si>
  <si>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</si>
  <si>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</si>
  <si>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</si>
  <si>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</si>
  <si>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</si>
  <si>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</si>
  <si>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</si>
  <si>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</si>
  <si>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</si>
  <si>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</si>
  <si>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</si>
  <si>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</si>
  <si>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</si>
  <si>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</si>
  <si>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</si>
  <si>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</si>
  <si>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</si>
  <si>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</si>
  <si>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</si>
  <si>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</si>
  <si>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</si>
  <si>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</si>
  <si>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</si>
  <si>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</si>
  <si>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</si>
  <si>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</si>
  <si>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</si>
  <si>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</si>
  <si>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</si>
  <si>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</si>
  <si>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</si>
  <si>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</si>
  <si>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</si>
  <si>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</si>
  <si>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</si>
  <si>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</si>
  <si>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</si>
  <si>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</si>
  <si>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</si>
  <si>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</si>
  <si>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</si>
  <si>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</si>
  <si>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</si>
  <si>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</si>
  <si>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</si>
  <si>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</si>
  <si>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</si>
  <si>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</si>
  <si>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</si>
  <si>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</si>
  <si>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</si>
  <si>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</si>
  <si>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</si>
  <si>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</si>
  <si>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</si>
  <si>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</si>
  <si>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</si>
  <si>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</si>
  <si>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</si>
  <si>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</si>
  <si>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</si>
  <si>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</si>
  <si>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</si>
  <si>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</si>
  <si>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</si>
  <si>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</si>
  <si>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</si>
  <si>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</si>
  <si>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</si>
  <si>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</si>
  <si>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</si>
  <si>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</si>
  <si>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</si>
  <si>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</si>
  <si>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</si>
  <si>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</si>
  <si>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</si>
  <si>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</si>
  <si>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</si>
  <si>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</si>
  <si>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</si>
  <si>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</si>
  <si>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</si>
  <si>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</si>
  <si>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</si>
  <si>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</si>
  <si>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</si>
  <si>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</si>
  <si>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</si>
  <si>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</si>
  <si>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</si>
  <si>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</si>
  <si>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</si>
  <si>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</si>
  <si>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</si>
  <si>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</si>
  <si>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</si>
  <si>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</si>
  <si>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</si>
  <si>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</si>
  <si>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</si>
  <si>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</si>
  <si>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</si>
  <si>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</si>
  <si>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</si>
  <si>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</si>
  <si>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</si>
  <si>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</si>
  <si>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</si>
  <si>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</si>
  <si>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</si>
  <si>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</si>
  <si>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</si>
  <si>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</si>
  <si>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</si>
  <si>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</si>
  <si>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</si>
  <si>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</si>
  <si>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</si>
  <si>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</si>
  <si>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</si>
  <si>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</si>
  <si>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</si>
  <si>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</si>
  <si>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</si>
  <si>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</si>
  <si>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</si>
  <si>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</si>
  <si>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</si>
  <si>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</si>
  <si>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</si>
  <si>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</si>
  <si>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</si>
  <si>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</si>
  <si>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</si>
  <si>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</si>
  <si>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</si>
  <si>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</si>
  <si>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</si>
  <si>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</si>
  <si>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</si>
  <si>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</si>
  <si>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</si>
  <si>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</si>
  <si>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</si>
  <si>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</si>
  <si>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</si>
  <si>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</si>
  <si>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</si>
  <si>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</si>
  <si>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</si>
  <si>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</si>
  <si>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</si>
  <si>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</si>
  <si>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</si>
  <si>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</si>
  <si>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</si>
  <si>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</si>
  <si>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</si>
  <si>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</si>
  <si>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</si>
  <si>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</si>
  <si>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</si>
  <si>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</si>
  <si>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</si>
  <si>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</si>
  <si>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</si>
  <si>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</si>
  <si>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</si>
  <si>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</si>
  <si>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</si>
  <si>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</si>
  <si>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</si>
  <si>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</si>
  <si>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</si>
  <si>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</si>
  <si>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</si>
  <si>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</si>
  <si>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</si>
  <si>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</si>
  <si>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</si>
  <si>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</si>
  <si>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</si>
  <si>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</si>
  <si>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</si>
  <si>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</si>
  <si>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</si>
  <si>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</si>
  <si>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</si>
  <si>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</si>
  <si>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</si>
  <si>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</si>
  <si>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</si>
  <si>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</si>
  <si>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</si>
  <si>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</si>
  <si>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</si>
  <si>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</si>
  <si>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</si>
  <si>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</si>
  <si>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</si>
  <si>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</si>
  <si>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</si>
  <si>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</si>
  <si>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</si>
  <si>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</si>
  <si>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</si>
  <si>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</si>
  <si>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</si>
  <si>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</si>
  <si>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</si>
  <si>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</si>
  <si>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</si>
  <si>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</si>
  <si>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</si>
  <si>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</si>
  <si>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</si>
  <si>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</si>
  <si>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</si>
  <si>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</si>
  <si>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</si>
  <si>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</si>
  <si>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</si>
  <si>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</si>
  <si>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</si>
  <si>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</si>
  <si>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</si>
  <si>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</si>
  <si>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</si>
  <si>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</si>
  <si>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</si>
  <si>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</si>
  <si>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</si>
  <si>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</si>
  <si>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</si>
  <si>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</si>
  <si>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</si>
  <si>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</si>
  <si>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</si>
  <si>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</si>
  <si>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</si>
  <si>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</si>
  <si>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</si>
  <si>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</si>
  <si>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</si>
  <si>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</si>
  <si>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</si>
  <si>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</si>
  <si>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</si>
  <si>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</si>
  <si>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</si>
  <si>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</si>
  <si>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</si>
  <si>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</si>
  <si>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</si>
  <si>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</si>
  <si>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</si>
  <si>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</si>
  <si>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</si>
  <si>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</si>
  <si>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</si>
  <si>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</si>
  <si>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</si>
  <si>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</si>
  <si>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</si>
  <si>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</si>
  <si>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</si>
  <si>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</si>
  <si>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</si>
  <si>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</si>
  <si>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</si>
  <si>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</si>
  <si>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</si>
  <si>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</si>
  <si>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</si>
  <si>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</si>
  <si>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</si>
  <si>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</si>
  <si>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</si>
  <si>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</si>
  <si>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</si>
  <si>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</si>
  <si>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</si>
  <si>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</si>
  <si>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</si>
  <si>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</si>
  <si>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</si>
  <si>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</si>
  <si>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</si>
  <si>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</si>
  <si>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</si>
  <si>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</si>
  <si>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</si>
  <si>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</si>
  <si>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</si>
  <si>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</si>
  <si>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</si>
  <si>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</si>
  <si>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</si>
  <si>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</si>
  <si>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</si>
  <si>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</si>
  <si>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</si>
  <si>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</si>
  <si>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</si>
  <si>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</si>
  <si>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</si>
  <si>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</si>
  <si>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</si>
  <si>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</si>
  <si>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</si>
  <si>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</si>
  <si>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</si>
  <si>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</si>
  <si>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</si>
  <si>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</si>
  <si>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</si>
  <si>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</si>
  <si>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</si>
  <si>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</si>
  <si>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</si>
  <si>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</si>
  <si>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</si>
  <si>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</si>
  <si>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</si>
  <si>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</si>
  <si>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</si>
  <si>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</si>
  <si>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</si>
  <si>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</si>
  <si>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</si>
  <si>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</si>
  <si>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</si>
  <si>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</si>
  <si>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</si>
  <si>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</si>
  <si>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</si>
  <si>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</si>
  <si>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</si>
  <si>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</si>
  <si>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</si>
  <si>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</si>
  <si>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</si>
  <si>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</si>
  <si>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</si>
  <si>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</si>
  <si>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</si>
  <si>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</si>
  <si>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</si>
  <si>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</si>
  <si>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</si>
  <si>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</si>
  <si>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</si>
  <si>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</si>
  <si>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</si>
  <si>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</si>
  <si>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</si>
  <si>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</si>
  <si>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</si>
  <si>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</si>
  <si>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</si>
  <si>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</si>
  <si>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</si>
  <si>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</si>
  <si>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</si>
  <si>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</si>
  <si>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</si>
  <si>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</si>
  <si>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</si>
  <si>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</si>
  <si>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</si>
  <si>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</si>
  <si>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</si>
  <si>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</si>
  <si>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</si>
  <si>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</si>
  <si>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</si>
  <si>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</si>
  <si>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</si>
  <si>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</si>
  <si>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</si>
  <si>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</si>
  <si>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</si>
  <si>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</si>
  <si>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</si>
  <si>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</si>
  <si>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</si>
  <si>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</si>
  <si>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</si>
  <si>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</si>
  <si>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</si>
  <si>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</si>
  <si>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</si>
  <si>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</si>
  <si>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</si>
  <si>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</si>
  <si>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</si>
  <si>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</si>
  <si>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</si>
  <si>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</si>
  <si>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</si>
  <si>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</si>
  <si>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</si>
  <si>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</si>
  <si>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</si>
  <si>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</si>
  <si>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</si>
  <si>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</si>
  <si>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</si>
  <si>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</si>
  <si>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</si>
  <si>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</si>
  <si>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</si>
  <si>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</si>
  <si>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</si>
  <si>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</si>
  <si>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</si>
  <si>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</si>
  <si>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</si>
  <si>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</si>
  <si>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</si>
  <si>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</si>
  <si>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</si>
  <si>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</si>
  <si>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</si>
  <si>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</si>
  <si>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</si>
  <si>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</si>
  <si>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</si>
  <si>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</si>
  <si>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</si>
  <si>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</si>
  <si>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</si>
  <si>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</si>
  <si>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</si>
  <si>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</si>
  <si>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</si>
  <si>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</si>
  <si>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</si>
  <si>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</si>
  <si>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</si>
  <si>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</si>
  <si>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</si>
  <si>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</si>
  <si>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</si>
  <si>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</si>
  <si>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</si>
  <si>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</si>
  <si>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</si>
  <si>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</si>
  <si>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</si>
  <si>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</si>
  <si>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</si>
  <si>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</si>
  <si>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</si>
  <si>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</si>
  <si>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</si>
  <si>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</si>
  <si>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</si>
  <si>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</si>
  <si>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</si>
  <si>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</si>
  <si>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</si>
  <si>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</si>
  <si>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</si>
  <si>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</si>
  <si>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</si>
  <si>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</si>
  <si>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</si>
  <si>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</si>
  <si>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</si>
  <si>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</si>
  <si>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</si>
  <si>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</si>
  <si>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</si>
  <si>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</si>
  <si>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</si>
  <si>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</si>
  <si>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</si>
  <si>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</si>
  <si>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</si>
  <si>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</si>
  <si>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</si>
  <si>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</si>
  <si>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</si>
  <si>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</si>
  <si>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</si>
  <si>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</si>
  <si>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</si>
  <si>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</si>
  <si>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</si>
  <si>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</si>
  <si>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</si>
  <si>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</si>
  <si>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</si>
  <si>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</si>
  <si>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</si>
  <si>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</si>
  <si>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</si>
  <si>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</si>
  <si>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</si>
  <si>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</si>
  <si>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</si>
  <si>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</si>
  <si>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</si>
  <si>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</si>
  <si>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</si>
  <si>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</si>
  <si>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</si>
  <si>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</si>
  <si>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</si>
  <si>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</si>
  <si>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</si>
  <si>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</si>
  <si>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</si>
  <si>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</si>
  <si>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</si>
  <si>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</si>
  <si>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</si>
  <si>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</si>
  <si>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</si>
  <si>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</si>
  <si>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</si>
  <si>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</si>
  <si>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</si>
  <si>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</si>
  <si>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</si>
  <si>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</si>
  <si>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</si>
  <si>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</si>
  <si>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</si>
  <si>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</si>
  <si>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</si>
  <si>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</si>
  <si>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</si>
  <si>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</si>
  <si>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</si>
  <si>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</si>
  <si>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</si>
  <si>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</si>
  <si>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</si>
  <si>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</si>
  <si>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</si>
  <si>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</si>
  <si>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</si>
  <si>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</si>
  <si>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</si>
  <si>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</si>
  <si>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</si>
  <si>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</si>
  <si>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</si>
  <si>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</si>
  <si>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</si>
  <si>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</si>
  <si>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</si>
  <si>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</si>
  <si>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</si>
  <si>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</si>
  <si>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</si>
  <si>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</si>
  <si>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</si>
  <si>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</si>
  <si>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</si>
  <si>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</si>
  <si>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</si>
  <si>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</si>
  <si>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</si>
  <si>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</si>
  <si>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</si>
  <si>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</si>
  <si>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</si>
  <si>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</si>
  <si>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</si>
  <si>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</si>
  <si>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</si>
  <si>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</si>
  <si>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</si>
  <si>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</si>
  <si>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</si>
  <si>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</si>
  <si>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</si>
  <si>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</si>
  <si>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</si>
  <si>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</si>
  <si>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</si>
  <si>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</si>
  <si>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</si>
  <si>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</si>
  <si>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</si>
  <si>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</si>
  <si>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</si>
  <si>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</si>
  <si>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</si>
  <si>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</si>
  <si>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</si>
  <si>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</si>
  <si>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</si>
  <si>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</si>
  <si>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</si>
  <si>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</si>
  <si>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</si>
  <si>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</si>
  <si>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</si>
  <si>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</si>
  <si>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</si>
  <si>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</si>
  <si>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</si>
  <si>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</si>
  <si>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</si>
  <si>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</si>
  <si>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</si>
  <si>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</si>
  <si>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</si>
  <si>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</si>
  <si>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</si>
  <si>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</si>
  <si>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</si>
  <si>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</si>
  <si>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</si>
  <si>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</si>
  <si>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</si>
  <si>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</si>
  <si>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</si>
  <si>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</si>
  <si>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</si>
  <si>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</si>
  <si>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</si>
  <si>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</si>
  <si>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</si>
  <si>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</si>
  <si>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</si>
  <si>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</si>
  <si>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</si>
  <si>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</si>
  <si>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</si>
  <si>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</si>
  <si>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</si>
  <si>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</si>
  <si>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</si>
  <si>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</si>
  <si>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</si>
  <si>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</si>
  <si>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</si>
  <si>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</si>
  <si>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</si>
  <si>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</si>
  <si>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</si>
  <si>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</si>
  <si>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</si>
  <si>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</si>
  <si>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</si>
  <si>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</si>
  <si>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</si>
  <si>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</si>
  <si>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</si>
  <si>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</si>
  <si>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</si>
  <si>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</si>
  <si>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</si>
  <si>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</si>
  <si>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</si>
  <si>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</si>
  <si>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</si>
  <si>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</si>
  <si>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</si>
  <si>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</si>
  <si>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</si>
  <si>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</si>
  <si>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</si>
  <si>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</si>
  <si>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</si>
  <si>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</si>
  <si>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</si>
  <si>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</si>
  <si>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</si>
  <si>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</si>
  <si>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</si>
  <si>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</si>
  <si>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</si>
  <si>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</si>
  <si>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</si>
  <si>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</si>
  <si>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</si>
  <si>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</si>
  <si>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</si>
  <si>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</si>
  <si>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</si>
  <si>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</si>
  <si>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</si>
  <si>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</si>
  <si>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</si>
  <si>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</si>
  <si>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</si>
  <si>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</si>
  <si>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</si>
  <si>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</si>
  <si>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</si>
  <si>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</si>
  <si>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</si>
  <si>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</si>
  <si>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</si>
  <si>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</si>
  <si>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</si>
  <si>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</si>
  <si>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</si>
  <si>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</si>
  <si>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</si>
  <si>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</si>
  <si>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</si>
  <si>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</si>
  <si>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</si>
  <si>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</si>
  <si>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</si>
  <si>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</si>
  <si>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</si>
  <si>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</si>
  <si>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</si>
  <si>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</si>
  <si>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</si>
  <si>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</si>
  <si>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</si>
  <si>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</si>
  <si>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</si>
  <si>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</si>
  <si>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</si>
  <si>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</si>
  <si>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</si>
  <si>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</si>
  <si>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</si>
  <si>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</si>
  <si>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</si>
  <si>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</si>
  <si>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</si>
  <si>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</si>
  <si>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</si>
  <si>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</si>
  <si>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</si>
  <si>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</si>
  <si>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</si>
  <si>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</si>
  <si>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</si>
  <si>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</si>
  <si>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</si>
  <si>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</si>
  <si>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</si>
  <si>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</si>
  <si>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</si>
  <si>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</si>
  <si>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</si>
  <si>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</si>
  <si>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</si>
  <si>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</si>
  <si>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</si>
  <si>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</si>
  <si>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</si>
  <si>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</si>
  <si>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</si>
  <si>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</si>
  <si>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</si>
  <si>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</si>
  <si>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</si>
  <si>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</si>
  <si>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</si>
  <si>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</si>
  <si>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</si>
  <si>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</si>
  <si>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</si>
  <si>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</si>
  <si>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</si>
  <si>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</si>
  <si>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</si>
  <si>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</si>
  <si>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</si>
  <si>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</si>
  <si>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</si>
  <si>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</si>
  <si>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</si>
  <si>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</si>
  <si>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</si>
  <si>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</si>
  <si>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</si>
  <si>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</si>
  <si>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</si>
  <si>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</si>
  <si>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</si>
  <si>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</si>
  <si>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</si>
  <si>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</si>
  <si>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</si>
  <si>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</si>
  <si>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</si>
  <si>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</si>
  <si>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</si>
  <si>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</si>
  <si>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</si>
  <si>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</si>
  <si>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</si>
  <si>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</si>
  <si>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</si>
  <si>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</si>
  <si>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</si>
  <si>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</si>
  <si>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</si>
  <si>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</si>
  <si>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</si>
  <si>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</si>
  <si>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</si>
  <si>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</si>
  <si>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</si>
  <si>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</si>
  <si>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</si>
  <si>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</si>
  <si>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</si>
  <si>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</si>
  <si>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</si>
  <si>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</si>
  <si>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</si>
  <si>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</si>
  <si>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</si>
  <si>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</si>
  <si>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</si>
  <si>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</si>
  <si>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</si>
  <si>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</si>
  <si>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</si>
  <si>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</si>
  <si>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</si>
  <si>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</si>
  <si>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</si>
  <si>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</si>
  <si>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</si>
  <si>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</si>
  <si>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</si>
  <si>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</si>
  <si>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</si>
  <si>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</si>
  <si>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</si>
  <si>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</si>
  <si>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</si>
  <si>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</si>
  <si>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</si>
  <si>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</si>
  <si>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</si>
  <si>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</si>
  <si>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</si>
  <si>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</si>
  <si>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</si>
  <si>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</si>
  <si>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</si>
  <si>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</si>
  <si>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</si>
  <si>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</si>
  <si>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</si>
  <si>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</si>
  <si>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</si>
  <si>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</si>
  <si>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</si>
  <si>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</si>
  <si>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</si>
  <si>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</si>
  <si>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</si>
  <si>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</si>
  <si>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</si>
  <si>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</si>
  <si>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</si>
  <si>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</si>
  <si>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</si>
  <si>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</si>
  <si>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</si>
  <si>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</si>
  <si>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</si>
  <si>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</si>
  <si>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</si>
  <si>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</si>
  <si>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</si>
  <si>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</si>
  <si>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</si>
  <si>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</si>
  <si>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</si>
  <si>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</si>
  <si>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</si>
  <si>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</si>
  <si>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</si>
  <si>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</si>
  <si>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</si>
  <si>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</si>
  <si>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</si>
  <si>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</si>
  <si>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</si>
  <si>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</si>
  <si>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</si>
  <si>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</si>
  <si>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</si>
  <si>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</si>
  <si>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</si>
  <si>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</si>
  <si>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</si>
  <si>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</si>
  <si>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</si>
  <si>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</si>
  <si>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</si>
  <si>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</si>
  <si>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</si>
  <si>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</si>
  <si>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</si>
  <si>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</si>
  <si>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</si>
  <si>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</si>
  <si>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</si>
  <si>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</si>
  <si>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</si>
  <si>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</si>
  <si>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</si>
  <si>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</si>
  <si>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</si>
  <si>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</si>
  <si>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</si>
  <si>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</si>
  <si>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</si>
  <si>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</si>
  <si>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</si>
  <si>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</si>
  <si>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</si>
  <si>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</si>
  <si>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</si>
  <si>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</si>
  <si>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</si>
  <si>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</si>
  <si>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</si>
  <si>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</si>
  <si>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</si>
  <si>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</si>
  <si>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</si>
  <si>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</si>
  <si>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</si>
  <si>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</si>
  <si>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</si>
  <si>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</si>
  <si>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</si>
  <si>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</si>
  <si>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</si>
  <si>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</si>
  <si>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</si>
  <si>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</si>
  <si>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</si>
  <si>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</si>
  <si>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</si>
  <si>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</si>
  <si>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</si>
  <si>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</si>
  <si>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</si>
  <si>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</si>
  <si>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</si>
  <si>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</si>
  <si>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</si>
  <si>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</si>
  <si>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</si>
  <si>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</si>
  <si>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</si>
  <si>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</si>
  <si>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</si>
  <si>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</si>
  <si>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</si>
  <si>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</si>
  <si>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</si>
  <si>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</si>
  <si>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</si>
  <si>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</si>
  <si>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</si>
  <si>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</si>
  <si>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</si>
  <si>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</si>
  <si>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</si>
  <si>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</si>
  <si>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</si>
  <si>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</si>
  <si>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</si>
  <si>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</si>
  <si>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</si>
  <si>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</si>
  <si>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</si>
  <si>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</si>
  <si>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</si>
  <si>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</si>
  <si>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</si>
  <si>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</si>
  <si>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</si>
  <si>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</si>
  <si>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</si>
  <si>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</si>
  <si>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</si>
  <si>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</si>
  <si>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</si>
  <si>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</si>
  <si>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</si>
  <si>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</si>
  <si>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</si>
  <si>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</si>
  <si>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</si>
  <si>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</si>
  <si>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</si>
  <si>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</si>
  <si>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</si>
  <si>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</si>
  <si>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</si>
  <si>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</si>
  <si>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</si>
  <si>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</si>
  <si>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</si>
  <si>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</si>
  <si>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</si>
  <si>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</si>
  <si>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</si>
  <si>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</si>
  <si>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</si>
  <si>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</si>
  <si>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</si>
  <si>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</si>
  <si>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</si>
  <si>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</si>
  <si>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</si>
  <si>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</si>
  <si>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</si>
  <si>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</si>
  <si>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</si>
  <si>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</si>
  <si>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</si>
  <si>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</si>
  <si>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</si>
  <si>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</si>
  <si>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</si>
  <si>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</si>
  <si>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</si>
  <si>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</si>
  <si>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</si>
  <si>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</si>
  <si>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</si>
  <si>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</si>
  <si>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</si>
  <si>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</si>
  <si>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</si>
  <si>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</si>
  <si>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</si>
  <si>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</si>
  <si>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</si>
  <si>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</si>
  <si>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</si>
  <si>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</si>
  <si>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</si>
  <si>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</si>
  <si>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</si>
  <si>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</si>
  <si>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</si>
  <si>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</si>
  <si>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</si>
  <si>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</si>
  <si>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</si>
  <si>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</si>
  <si>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</si>
  <si>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</si>
  <si>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</si>
  <si>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</si>
  <si>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</si>
  <si>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</si>
  <si>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</si>
  <si>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</si>
  <si>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</si>
  <si>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</si>
  <si>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</si>
  <si>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</si>
  <si>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</si>
  <si>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</si>
  <si>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</si>
  <si>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</si>
  <si>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</si>
  <si>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</si>
  <si>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</si>
  <si>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</si>
  <si>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</si>
  <si>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</si>
  <si>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</si>
  <si>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</si>
  <si>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</si>
  <si>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</si>
  <si>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</si>
  <si>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</si>
  <si>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</si>
  <si>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</si>
  <si>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</si>
  <si>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</si>
  <si>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</si>
  <si>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</si>
  <si>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</si>
  <si>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</si>
  <si>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</si>
  <si>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</si>
  <si>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</si>
  <si>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</si>
  <si>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</si>
  <si>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</si>
  <si>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</si>
  <si>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</si>
  <si>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</si>
  <si>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</si>
  <si>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</si>
  <si>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</si>
  <si>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</si>
  <si>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</si>
  <si>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</si>
  <si>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</si>
  <si>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</si>
  <si>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</si>
  <si>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</si>
  <si>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</si>
  <si>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</si>
  <si>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</si>
  <si>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</si>
  <si>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</si>
  <si>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</si>
  <si>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</si>
  <si>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</si>
  <si>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</si>
  <si>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</si>
  <si>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</si>
  <si>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</si>
  <si>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</si>
  <si>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</si>
  <si>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</si>
  <si>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</si>
  <si>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</si>
  <si>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</si>
  <si>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</si>
  <si>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</si>
  <si>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</si>
  <si>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</si>
  <si>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</si>
  <si>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</si>
  <si>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</si>
  <si>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</si>
  <si>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</si>
  <si>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</si>
  <si>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</si>
  <si>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</si>
  <si>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</si>
  <si>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</si>
  <si>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</si>
  <si>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</si>
  <si>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</si>
  <si>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</si>
  <si>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</si>
  <si>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</si>
  <si>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</si>
  <si>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</si>
  <si>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</si>
  <si>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</si>
  <si>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</si>
  <si>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</si>
  <si>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</si>
  <si>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</si>
  <si>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</si>
  <si>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</si>
  <si>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</si>
  <si>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</si>
  <si>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</si>
  <si>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</si>
  <si>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</si>
  <si>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</si>
  <si>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</si>
  <si>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</si>
  <si>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</si>
  <si>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</si>
  <si>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</si>
  <si>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</si>
  <si>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</si>
  <si>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</si>
  <si>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</si>
  <si>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</si>
  <si>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</si>
  <si>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</si>
  <si>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</si>
  <si>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</si>
  <si>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</si>
  <si>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</si>
  <si>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</si>
  <si>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</si>
  <si>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</si>
  <si>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</si>
  <si>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</si>
  <si>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</si>
  <si>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</si>
  <si>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</si>
  <si>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</si>
  <si>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</si>
  <si>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</si>
  <si>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</si>
  <si>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</si>
  <si>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</si>
  <si>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</si>
  <si>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</si>
  <si>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</si>
  <si>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</si>
  <si>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</si>
  <si>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</si>
  <si>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</si>
  <si>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</si>
  <si>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</si>
  <si>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</si>
  <si>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</si>
  <si>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</si>
  <si>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</si>
  <si>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</si>
  <si>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</si>
  <si>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</si>
  <si>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</si>
  <si>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</si>
  <si>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</si>
  <si>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</si>
  <si>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</si>
  <si>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</si>
  <si>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</si>
  <si>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</si>
  <si>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</si>
  <si>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</si>
  <si>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</si>
  <si>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</si>
  <si>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</si>
  <si>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</si>
  <si>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</si>
  <si>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</si>
  <si>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</si>
  <si>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</si>
  <si>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</si>
  <si>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</si>
  <si>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</si>
  <si>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</si>
  <si>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</si>
  <si>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</si>
  <si>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</si>
  <si>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</si>
  <si>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</si>
  <si>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</si>
  <si>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</si>
  <si>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</si>
  <si>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</si>
  <si>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</si>
  <si>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</si>
  <si>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</si>
  <si>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</si>
  <si>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</si>
  <si>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</si>
  <si>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</si>
  <si>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</si>
  <si>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</si>
  <si>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</si>
  <si>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</si>
  <si>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</si>
  <si>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</si>
  <si>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</si>
  <si>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</si>
  <si>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</si>
  <si>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</si>
  <si>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</si>
  <si>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</si>
  <si>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</si>
  <si>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</si>
  <si>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</si>
  <si>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</si>
  <si>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</si>
  <si>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</si>
  <si>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</si>
  <si>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</si>
  <si>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</si>
  <si>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</si>
  <si>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</si>
  <si>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</si>
  <si>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</si>
  <si>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</si>
  <si>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</si>
  <si>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</si>
  <si>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</si>
  <si>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</si>
  <si>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</si>
  <si>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</si>
  <si>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</si>
  <si>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</si>
  <si>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</si>
  <si>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</si>
  <si>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</si>
  <si>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</si>
  <si>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</si>
  <si>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</si>
  <si>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</si>
  <si>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</si>
  <si>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</si>
  <si>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</si>
  <si>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</si>
  <si>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</si>
  <si>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</si>
  <si>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</si>
  <si>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</si>
  <si>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</si>
  <si>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</si>
  <si>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</si>
  <si>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</si>
  <si>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</si>
  <si>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</si>
  <si>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</si>
  <si>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</si>
  <si>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</si>
  <si>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</si>
  <si>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</si>
  <si>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</si>
  <si>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</si>
  <si>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</si>
  <si>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</si>
  <si>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</si>
  <si>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</si>
  <si>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</si>
  <si>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</si>
  <si>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</si>
  <si>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</si>
  <si>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</si>
  <si>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</si>
  <si>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</si>
  <si>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</si>
  <si>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</si>
  <si>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</si>
  <si>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</si>
  <si>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</si>
  <si>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</si>
  <si>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</si>
  <si>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</si>
  <si>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</si>
  <si>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</si>
  <si>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</si>
  <si>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</si>
  <si>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</si>
  <si>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</si>
  <si>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</si>
  <si>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</si>
  <si>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</si>
  <si>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</si>
  <si>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</si>
  <si>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</si>
  <si>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</si>
  <si>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</si>
  <si>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</si>
  <si>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</si>
  <si>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</si>
  <si>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</si>
  <si>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</si>
  <si>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</si>
  <si>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</si>
  <si>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</si>
  <si>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</si>
  <si>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</si>
  <si>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</si>
  <si>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</si>
  <si>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</si>
  <si>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</si>
  <si>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</si>
  <si>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</si>
  <si>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</si>
  <si>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</si>
  <si>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</si>
  <si>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</si>
  <si>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</si>
  <si>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</si>
  <si>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</si>
  <si>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</si>
  <si>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</si>
  <si>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</si>
  <si>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</si>
  <si>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</si>
  <si>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</si>
  <si>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</si>
  <si>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</si>
  <si>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</si>
  <si>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</si>
  <si>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</si>
  <si>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</si>
  <si>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</si>
  <si>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</si>
  <si>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</si>
  <si>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</si>
  <si>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</si>
  <si>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</si>
  <si>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</si>
  <si>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</si>
  <si>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</si>
  <si>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</si>
  <si>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</si>
  <si>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</si>
  <si>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</si>
  <si>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</si>
  <si>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</si>
  <si>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</si>
  <si>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</si>
  <si>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</si>
  <si>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</si>
  <si>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</si>
  <si>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</si>
  <si>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</si>
  <si>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</si>
  <si>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</si>
  <si>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</si>
  <si>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</si>
  <si>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</si>
  <si>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</si>
  <si>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</si>
  <si>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</si>
  <si>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</si>
  <si>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</si>
  <si>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</si>
  <si>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</si>
  <si>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</si>
  <si>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</si>
  <si>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</si>
  <si>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</si>
  <si>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</si>
  <si>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</si>
  <si>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</si>
  <si>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</si>
  <si>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</si>
  <si>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</si>
  <si>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</si>
  <si>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</si>
  <si>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</si>
  <si>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</si>
  <si>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</si>
  <si>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</si>
  <si>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</si>
  <si>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</si>
  <si>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</si>
  <si>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</si>
  <si>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</si>
  <si>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</si>
  <si>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</si>
  <si>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</si>
  <si>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</si>
  <si>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</si>
  <si>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</si>
  <si>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</si>
  <si>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</si>
  <si>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</si>
  <si>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</si>
  <si>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</si>
  <si>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</si>
  <si>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</si>
  <si>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</si>
  <si>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</si>
  <si>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</si>
  <si>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</si>
  <si>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</si>
  <si>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</si>
  <si>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</si>
  <si>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</si>
  <si>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</si>
  <si>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</si>
  <si>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</si>
  <si>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</si>
  <si>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</si>
  <si>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</si>
  <si>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</si>
  <si>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</si>
  <si>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</si>
  <si>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</si>
  <si>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</si>
  <si>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</si>
  <si>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</si>
  <si>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</si>
  <si>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</si>
  <si>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</si>
  <si>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</si>
  <si>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</si>
  <si>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</si>
  <si>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</si>
  <si>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</si>
  <si>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</si>
  <si>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</si>
  <si>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</si>
  <si>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</si>
  <si>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</si>
  <si>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</si>
  <si>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</si>
  <si>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</si>
  <si>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</si>
  <si>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</si>
  <si>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</si>
  <si>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</si>
  <si>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</si>
  <si>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</si>
  <si>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</si>
  <si>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</si>
  <si>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</si>
  <si>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</si>
  <si>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</si>
  <si>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</si>
  <si>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</si>
  <si>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</si>
  <si>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</si>
  <si>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</si>
  <si>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</si>
  <si>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</si>
  <si>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</si>
  <si>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</si>
  <si>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</si>
  <si>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</si>
  <si>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</si>
  <si>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</si>
  <si>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</si>
  <si>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</si>
  <si>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</si>
  <si>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</si>
  <si>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</si>
  <si>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</si>
  <si>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</si>
  <si>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</si>
  <si>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</si>
  <si>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</si>
  <si>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</si>
  <si>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</si>
  <si>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</si>
  <si>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</si>
  <si>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</si>
  <si>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</si>
  <si>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</si>
  <si>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</si>
  <si>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</si>
  <si>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</si>
  <si>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</si>
  <si>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</si>
  <si>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</si>
  <si>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</si>
  <si>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</si>
  <si>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</si>
  <si>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</si>
  <si>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</si>
  <si>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</si>
  <si>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</si>
  <si>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</si>
  <si>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</si>
  <si>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</si>
  <si>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</si>
  <si>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</si>
  <si>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</si>
  <si>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</si>
  <si>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</si>
  <si>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</si>
  <si>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</si>
  <si>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</si>
  <si>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</si>
  <si>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</si>
  <si>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</si>
  <si>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</si>
  <si>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</si>
  <si>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</si>
  <si>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</si>
  <si>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</si>
  <si>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</si>
  <si>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</si>
  <si>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</si>
  <si>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</si>
  <si>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</si>
  <si>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</si>
  <si>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</si>
  <si>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</si>
  <si>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</si>
  <si>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</si>
  <si>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</si>
  <si>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</si>
  <si>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</si>
  <si>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</si>
  <si>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</si>
  <si>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</si>
  <si>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</si>
  <si>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</si>
  <si>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</si>
  <si>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</si>
  <si>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</si>
  <si>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</si>
  <si>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</si>
  <si>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</si>
  <si>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</si>
  <si>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</si>
  <si>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</si>
  <si>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</si>
  <si>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</si>
  <si>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</si>
  <si>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</si>
  <si>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</si>
  <si>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</si>
  <si>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</si>
  <si>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</si>
  <si>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</si>
  <si>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</si>
  <si>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</si>
  <si>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</si>
  <si>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</si>
  <si>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</si>
  <si>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</si>
  <si>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</si>
  <si>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</si>
  <si>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</si>
  <si>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</si>
  <si>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</si>
  <si>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</si>
  <si>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</si>
  <si>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</si>
  <si>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</si>
  <si>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</si>
  <si>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</si>
  <si>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</si>
  <si>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</si>
  <si>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</si>
  <si>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</si>
  <si>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</si>
  <si>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</si>
  <si>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</si>
  <si>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</si>
  <si>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</si>
  <si>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</si>
  <si>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</si>
  <si>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</si>
  <si>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</si>
  <si>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</si>
  <si>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</si>
  <si>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</si>
  <si>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</si>
  <si>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</si>
  <si>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</si>
  <si>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</si>
  <si>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</si>
  <si>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</si>
  <si>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</si>
  <si>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</si>
  <si>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</si>
  <si>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</si>
  <si>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</si>
  <si>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</si>
  <si>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</si>
  <si>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</si>
  <si>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</si>
  <si>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</si>
  <si>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</si>
  <si>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</si>
  <si>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</si>
  <si>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</si>
  <si>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</si>
  <si>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</si>
  <si>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</si>
  <si>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</si>
  <si>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</si>
  <si>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</si>
  <si>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</si>
  <si>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</si>
  <si>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</si>
  <si>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</si>
  <si>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</si>
  <si>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</si>
  <si>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</si>
  <si>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</si>
  <si>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</si>
  <si>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</si>
  <si>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</si>
  <si>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</si>
  <si>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</si>
  <si>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</si>
  <si>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</si>
  <si>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</si>
  <si>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</si>
  <si>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</si>
  <si>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</si>
  <si>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</si>
  <si>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</si>
  <si>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</si>
  <si>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</si>
  <si>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</si>
  <si>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</si>
  <si>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</si>
  <si>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</si>
  <si>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</si>
  <si>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</si>
  <si>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</si>
  <si>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</si>
  <si>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</si>
  <si>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</si>
  <si>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</si>
  <si>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</si>
  <si>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</si>
  <si>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</si>
  <si>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</si>
  <si>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</si>
  <si>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</si>
  <si>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</si>
  <si>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</si>
  <si>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</si>
  <si>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</si>
  <si>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</si>
  <si>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</si>
  <si>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</si>
  <si>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</si>
  <si>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</si>
  <si>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</si>
  <si>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</si>
  <si>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</si>
  <si>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</si>
  <si>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</si>
  <si>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</si>
  <si>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</si>
  <si>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</si>
  <si>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</si>
  <si>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</si>
  <si>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</si>
  <si>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</si>
  <si>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</si>
  <si>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</si>
  <si>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</si>
  <si>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</si>
  <si>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</si>
  <si>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</si>
  <si>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</si>
  <si>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</si>
  <si>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</si>
  <si>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</si>
  <si>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</si>
  <si>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</si>
  <si>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</si>
  <si>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</si>
  <si>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</si>
  <si>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</si>
  <si>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</si>
  <si>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</si>
  <si>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</si>
  <si>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</si>
  <si>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</si>
  <si>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</si>
  <si>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</si>
  <si>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</si>
  <si>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</si>
  <si>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</si>
  <si>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</si>
  <si>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</si>
  <si>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</si>
  <si>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</si>
  <si>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</si>
  <si>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</si>
  <si>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</si>
  <si>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</si>
  <si>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</si>
  <si>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</si>
  <si>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</si>
  <si>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</si>
  <si>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</si>
  <si>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</si>
  <si>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</si>
  <si>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</si>
  <si>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</si>
  <si>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</si>
  <si>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</si>
  <si>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</si>
  <si>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</si>
  <si>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</si>
  <si>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</si>
  <si>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</si>
  <si>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</si>
  <si>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</si>
  <si>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</si>
  <si>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</si>
  <si>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</si>
  <si>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</si>
  <si>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</si>
  <si>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</si>
  <si>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</si>
  <si>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</si>
  <si>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</si>
  <si>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</si>
  <si>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</si>
  <si>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</si>
  <si>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</si>
  <si>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</si>
  <si>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</si>
  <si>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</si>
  <si>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</si>
  <si>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</si>
  <si>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</si>
  <si>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</si>
  <si>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</si>
  <si>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</si>
  <si>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</si>
  <si>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</si>
  <si>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</si>
  <si>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</si>
  <si>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</si>
  <si>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</si>
  <si>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</si>
  <si>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</si>
  <si>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</si>
  <si>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</si>
  <si>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</si>
  <si>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</si>
  <si>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</si>
  <si>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</si>
  <si>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</si>
  <si>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</si>
  <si>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</si>
  <si>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</si>
  <si>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</si>
  <si>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</si>
  <si>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</si>
  <si>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</si>
  <si>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</si>
  <si>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</si>
  <si>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</si>
  <si>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</si>
  <si>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</si>
  <si>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</si>
  <si>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</si>
  <si>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</si>
  <si>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</si>
  <si>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</si>
  <si>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</si>
  <si>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</si>
  <si>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</si>
  <si>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</si>
  <si>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</si>
  <si>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</si>
  <si>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</si>
  <si>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</si>
  <si>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</si>
  <si>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</si>
  <si>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</si>
  <si>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</si>
  <si>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</si>
  <si>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</si>
  <si>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</si>
  <si>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</si>
  <si>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</si>
  <si>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</si>
  <si>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</si>
  <si>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</si>
  <si>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</si>
  <si>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</si>
  <si>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</si>
  <si>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</si>
  <si>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</si>
  <si>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</si>
  <si>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</si>
  <si>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</si>
  <si>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</si>
  <si>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</si>
  <si>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</si>
  <si>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</si>
  <si>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</si>
  <si>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</si>
  <si>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</si>
  <si>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</si>
  <si>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</si>
  <si>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</si>
  <si>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</si>
  <si>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</si>
  <si>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</si>
  <si>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</si>
  <si>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</si>
  <si>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</si>
  <si>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</si>
  <si>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</si>
  <si>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</si>
  <si>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</si>
  <si>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</si>
  <si>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</si>
  <si>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</si>
  <si>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</si>
  <si>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</si>
  <si>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</si>
  <si>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</si>
  <si>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</si>
  <si>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</si>
  <si>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</si>
  <si>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</si>
  <si>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</si>
  <si>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</si>
  <si>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</si>
  <si>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</si>
  <si>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</si>
  <si>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</si>
  <si>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</si>
  <si>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</si>
  <si>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</si>
  <si>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</si>
  <si>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</si>
  <si>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</si>
  <si>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</si>
  <si>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</si>
  <si>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</si>
  <si>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</si>
  <si>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</si>
  <si>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</si>
  <si>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</si>
  <si>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</si>
  <si>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</si>
  <si>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</si>
  <si>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</si>
  <si>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</si>
  <si>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</si>
  <si>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</si>
  <si>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</si>
  <si>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</si>
  <si>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</si>
  <si>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</si>
  <si>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</si>
  <si>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</si>
  <si>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</si>
  <si>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</si>
  <si>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</si>
  <si>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</si>
  <si>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</si>
  <si>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</si>
  <si>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</si>
  <si>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</si>
  <si>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</si>
  <si>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</si>
  <si>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</si>
  <si>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</si>
  <si>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</si>
  <si>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</si>
  <si>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</si>
  <si>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</si>
  <si>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</si>
  <si>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</si>
  <si>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</si>
  <si>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</si>
  <si>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</si>
  <si>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</si>
  <si>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</si>
  <si>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</si>
  <si>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</si>
  <si>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</si>
  <si>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</si>
  <si>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</si>
  <si>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</si>
  <si>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</si>
  <si>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</si>
  <si>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</si>
  <si>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</si>
  <si>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</si>
  <si>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</si>
  <si>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</si>
  <si>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</si>
  <si>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</si>
  <si>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</si>
  <si>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</si>
  <si>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</si>
  <si>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</si>
  <si>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</si>
  <si>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</si>
  <si>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</si>
  <si>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</si>
  <si>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</si>
  <si>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</si>
  <si>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</si>
  <si>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</si>
  <si>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</si>
  <si>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</si>
  <si>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</si>
  <si>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</si>
  <si>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</si>
  <si>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</si>
  <si>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</si>
  <si>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</si>
  <si>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</si>
  <si>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</si>
  <si>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</si>
  <si>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</si>
  <si>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</si>
  <si>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</si>
  <si>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</si>
  <si>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</si>
  <si>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</si>
  <si>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</si>
  <si>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</si>
  <si>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</si>
  <si>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</si>
  <si>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</si>
  <si>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</si>
  <si>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</si>
  <si>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</si>
  <si>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</si>
  <si>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</si>
  <si>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</si>
  <si>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</si>
  <si>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</si>
  <si>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</si>
  <si>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</si>
  <si>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</si>
  <si>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</si>
  <si>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</si>
  <si>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</si>
  <si>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</si>
  <si>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</si>
  <si>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</si>
  <si>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</si>
  <si>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</si>
  <si>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</si>
  <si>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</si>
  <si>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</si>
  <si>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</si>
  <si>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</si>
  <si>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</si>
  <si>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</si>
  <si>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</si>
  <si>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</si>
  <si>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</si>
  <si>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</si>
  <si>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</si>
  <si>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</si>
  <si>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</si>
  <si>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</si>
  <si>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</si>
  <si>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</si>
  <si>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</si>
  <si>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</si>
  <si>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</si>
  <si>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</si>
  <si>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</si>
  <si>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</si>
  <si>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</si>
  <si>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</si>
  <si>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</si>
  <si>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</si>
  <si>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</si>
  <si>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</si>
  <si>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</si>
  <si>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</si>
  <si>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</si>
  <si>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</si>
  <si>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</si>
  <si>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</si>
  <si>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</si>
  <si>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</si>
  <si>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</si>
  <si>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</si>
  <si>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</si>
  <si>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</si>
  <si>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</si>
  <si>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</si>
  <si>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</si>
  <si>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</si>
  <si>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</si>
  <si>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</si>
  <si>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</si>
  <si>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</si>
  <si>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</si>
  <si>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</si>
  <si>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</si>
  <si>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</si>
  <si>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</si>
  <si>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</si>
  <si>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</si>
  <si>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</si>
  <si>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</si>
  <si>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</si>
  <si>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</si>
  <si>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</si>
  <si>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</si>
  <si>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</si>
  <si>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</si>
  <si>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</si>
  <si>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</si>
  <si>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</si>
  <si>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</si>
  <si>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</si>
  <si>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</si>
  <si>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</si>
  <si>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</si>
  <si>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</si>
  <si>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</si>
  <si>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</si>
  <si>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</si>
  <si>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</si>
  <si>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</si>
  <si>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</si>
  <si>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</si>
  <si>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</si>
  <si>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</si>
  <si>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</si>
  <si>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</si>
  <si>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</si>
  <si>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</si>
  <si>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</si>
  <si>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</si>
  <si>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</si>
  <si>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</si>
  <si>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</si>
  <si>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</si>
  <si>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</si>
  <si>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</si>
  <si>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</si>
  <si>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</si>
  <si>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</si>
  <si>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</si>
  <si>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</si>
  <si>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</si>
  <si>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</si>
  <si>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</si>
  <si>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</si>
  <si>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</si>
  <si>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</si>
  <si>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</si>
  <si>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</si>
  <si>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</si>
  <si>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</si>
  <si>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</si>
  <si>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</si>
  <si>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</si>
  <si>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</si>
  <si>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</si>
  <si>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</si>
  <si>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</si>
  <si>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</si>
  <si>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</si>
  <si>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</si>
  <si>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</si>
  <si>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</si>
  <si>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</si>
  <si>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</si>
  <si>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</si>
  <si>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</si>
  <si>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</si>
  <si>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</si>
  <si>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</si>
  <si>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</si>
  <si>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</si>
  <si>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</si>
  <si>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</si>
  <si>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</si>
  <si>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</si>
  <si>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</si>
  <si>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</si>
  <si>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</si>
  <si>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</si>
  <si>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</si>
  <si>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</si>
  <si>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</si>
  <si>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</si>
  <si>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</si>
  <si>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</si>
  <si>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</si>
  <si>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</si>
  <si>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</si>
  <si>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</si>
  <si>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</si>
  <si>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</si>
  <si>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</si>
  <si>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</si>
  <si>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</si>
  <si>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</si>
  <si>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</si>
  <si>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</si>
  <si>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</si>
  <si>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</si>
  <si>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</si>
  <si>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</si>
  <si>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</si>
  <si>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</si>
  <si>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</si>
  <si>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</si>
  <si>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</si>
  <si>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</si>
  <si>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</si>
  <si>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</si>
  <si>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</si>
  <si>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</si>
  <si>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</si>
  <si>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</si>
  <si>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</si>
  <si>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</si>
  <si>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</si>
  <si>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</si>
  <si>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</si>
  <si>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</si>
  <si>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</si>
  <si>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</si>
  <si>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</si>
  <si>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</si>
  <si>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</si>
  <si>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</si>
  <si>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</si>
  <si>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</si>
  <si>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</si>
  <si>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</si>
  <si>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</si>
  <si>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</si>
  <si>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</si>
  <si>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</si>
  <si>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</si>
  <si>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</si>
  <si>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</si>
  <si>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</si>
  <si>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</si>
  <si>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</si>
  <si>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</si>
  <si>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</si>
  <si>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</si>
  <si>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</si>
  <si>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</si>
  <si>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</si>
  <si>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</si>
  <si>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</si>
  <si>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</si>
  <si>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</si>
  <si>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</si>
  <si>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</si>
  <si>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</si>
  <si>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</si>
  <si>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</si>
  <si>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</si>
  <si>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</si>
  <si>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</si>
  <si>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</si>
  <si>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</si>
  <si>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</si>
  <si>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</si>
  <si>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</si>
  <si>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</si>
  <si>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</si>
  <si>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</si>
  <si>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</si>
  <si>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</si>
  <si>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</si>
  <si>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</si>
  <si>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</si>
  <si>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</si>
  <si>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</si>
  <si>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</si>
  <si>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</si>
  <si>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</si>
  <si>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</si>
  <si>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</si>
  <si>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</si>
  <si>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</si>
  <si>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</si>
  <si>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</si>
  <si>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</si>
  <si>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</si>
  <si>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</si>
  <si>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</si>
  <si>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</si>
  <si>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</si>
  <si>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</si>
  <si>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</si>
  <si>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</si>
  <si>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</si>
  <si>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</si>
  <si>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</si>
  <si>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</si>
  <si>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</si>
  <si>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</si>
  <si>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</si>
  <si>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</si>
  <si>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</si>
  <si>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</si>
  <si>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</si>
  <si>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</si>
  <si>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</si>
  <si>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</si>
  <si>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</si>
  <si>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</si>
  <si>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</si>
  <si>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</si>
  <si>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</si>
  <si>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</si>
  <si>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</si>
  <si>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</si>
  <si>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</si>
  <si>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</si>
  <si>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</si>
  <si>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</si>
  <si>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</si>
  <si>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</si>
  <si>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</si>
  <si>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</si>
  <si>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</si>
  <si>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</si>
  <si>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</si>
  <si>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</si>
  <si>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</si>
  <si>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</si>
  <si>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</si>
  <si>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</si>
  <si>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</si>
  <si>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</si>
  <si>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</si>
  <si>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</si>
  <si>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</si>
  <si>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</si>
  <si>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</si>
  <si>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</si>
  <si>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</si>
  <si>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</si>
  <si>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</si>
  <si>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</si>
  <si>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</si>
  <si>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</si>
  <si>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</si>
  <si>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</si>
  <si>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</si>
  <si>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</si>
  <si>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</si>
  <si>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</si>
  <si>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</si>
  <si>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</si>
  <si>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</si>
  <si>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</si>
  <si>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</si>
  <si>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</si>
  <si>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</si>
  <si>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</si>
  <si>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</si>
  <si>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</si>
  <si>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</si>
  <si>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</si>
  <si>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</si>
  <si>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</si>
  <si>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</si>
  <si>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</si>
  <si>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</si>
  <si>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</si>
  <si>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</si>
  <si>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</si>
  <si>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</si>
  <si>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</si>
  <si>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</si>
  <si>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</si>
  <si>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</si>
  <si>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</si>
  <si>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</si>
  <si>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</si>
  <si>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</si>
  <si>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</si>
  <si>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</si>
  <si>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</si>
  <si>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</si>
  <si>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</si>
  <si>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</si>
  <si>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</si>
  <si>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</si>
  <si>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</si>
  <si>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</si>
  <si>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</si>
  <si>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</si>
  <si>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</si>
  <si>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</si>
  <si>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</si>
  <si>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</si>
  <si>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</si>
  <si>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</si>
  <si>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</si>
  <si>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</si>
  <si>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</si>
  <si>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</si>
  <si>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</si>
  <si>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</si>
  <si>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</si>
  <si>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</si>
  <si>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</si>
  <si>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</si>
  <si>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</si>
  <si>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</si>
  <si>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</si>
  <si>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</si>
  <si>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</si>
  <si>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</si>
  <si>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</si>
  <si>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</si>
  <si>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</si>
  <si>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</si>
  <si>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</si>
  <si>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</si>
  <si>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</si>
  <si>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</si>
  <si>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</si>
  <si>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</si>
  <si>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</si>
  <si>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</si>
  <si>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</si>
  <si>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</si>
  <si>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</si>
  <si>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</si>
  <si>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</si>
  <si>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</si>
  <si>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</si>
  <si>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</si>
  <si>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</si>
  <si>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</si>
  <si>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</si>
  <si>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</si>
  <si>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</si>
  <si>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</si>
  <si>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</si>
  <si>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</si>
  <si>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</si>
  <si>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</si>
  <si>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</si>
  <si>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</si>
  <si>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</si>
  <si>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</si>
  <si>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</si>
  <si>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</si>
  <si>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</si>
  <si>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</si>
  <si>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</si>
  <si>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</si>
  <si>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</si>
  <si>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</si>
  <si>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</si>
  <si>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</si>
  <si>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</si>
  <si>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</si>
  <si>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</si>
  <si>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</si>
  <si>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</si>
  <si>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</si>
  <si>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</si>
  <si>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</si>
  <si>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</si>
  <si>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</si>
  <si>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</si>
  <si>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</si>
  <si>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</si>
  <si>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</si>
  <si>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</si>
  <si>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</si>
  <si>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</si>
  <si>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</si>
  <si>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</si>
  <si>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</si>
  <si>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</si>
  <si>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</si>
  <si>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</si>
  <si>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</si>
  <si>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</si>
  <si>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</si>
  <si>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</si>
  <si>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</si>
  <si>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</si>
  <si>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</si>
  <si>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</si>
  <si>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</si>
  <si>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</si>
  <si>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</si>
  <si>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</si>
  <si>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</si>
  <si>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</si>
  <si>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</si>
  <si>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</si>
  <si>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</si>
  <si>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</si>
  <si>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</si>
  <si>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</si>
  <si>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</si>
  <si>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</si>
  <si>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</si>
  <si>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</si>
  <si>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</si>
  <si>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</si>
  <si>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</si>
  <si>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</si>
  <si>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</si>
  <si>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</si>
  <si>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</si>
  <si>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</si>
  <si>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</si>
  <si>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</si>
  <si>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</si>
  <si>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</si>
  <si>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</si>
  <si>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</si>
  <si>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</si>
  <si>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</si>
  <si>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</si>
  <si>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</si>
  <si>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</si>
  <si>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</si>
  <si>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</si>
  <si>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</si>
  <si>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</si>
  <si>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</si>
  <si>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</si>
  <si>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</si>
  <si>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</si>
  <si>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</si>
  <si>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</si>
  <si>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</si>
  <si>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</si>
  <si>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</si>
  <si>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</si>
  <si>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</si>
  <si>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</si>
  <si>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</si>
  <si>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</si>
  <si>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</si>
  <si>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</si>
  <si>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</si>
  <si>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</si>
  <si>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</si>
  <si>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</si>
  <si>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</si>
  <si>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</si>
  <si>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</si>
  <si>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</si>
  <si>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</si>
  <si>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</si>
  <si>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</si>
  <si>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</si>
  <si>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</si>
  <si>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</si>
  <si>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</si>
  <si>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</si>
  <si>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</si>
  <si>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</si>
  <si>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</si>
  <si>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</si>
  <si>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</si>
  <si>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</si>
  <si>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</si>
  <si>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</si>
  <si>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</si>
  <si>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</si>
  <si>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</si>
  <si>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</si>
  <si>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</si>
  <si>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</si>
  <si>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</si>
  <si>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</si>
  <si>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</si>
  <si>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</si>
  <si>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</si>
  <si>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</si>
  <si>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</si>
  <si>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</si>
  <si>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</si>
  <si>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</si>
  <si>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</si>
  <si>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</si>
  <si>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</si>
  <si>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</si>
  <si>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</si>
  <si>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</si>
  <si>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</si>
  <si>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</si>
  <si>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</si>
  <si>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</si>
  <si>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</si>
  <si>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</si>
  <si>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</si>
  <si>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</si>
  <si>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</si>
  <si>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</si>
  <si>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</si>
  <si>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</si>
  <si>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</si>
  <si>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</si>
  <si>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</si>
  <si>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</si>
  <si>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</si>
  <si>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</si>
  <si>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</si>
  <si>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</si>
  <si>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</si>
  <si>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</si>
  <si>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</si>
  <si>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</si>
  <si>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</si>
  <si>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</si>
  <si>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</si>
  <si>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</si>
  <si>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</si>
  <si>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</si>
  <si>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</si>
  <si>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</si>
  <si>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</si>
  <si>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</si>
  <si>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</si>
  <si>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</si>
  <si>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</si>
  <si>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</si>
  <si>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</si>
  <si>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</si>
  <si>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</si>
  <si>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</si>
  <si>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</si>
  <si>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</si>
  <si>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</si>
  <si>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</si>
  <si>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</si>
  <si>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</si>
  <si>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</si>
  <si>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</si>
  <si>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</si>
  <si>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</si>
  <si>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</si>
  <si>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</si>
  <si>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</si>
  <si>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</si>
  <si>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</si>
  <si>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</si>
  <si>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</si>
  <si>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</si>
  <si>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</si>
  <si>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</si>
  <si>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</si>
  <si>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</si>
  <si>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</si>
  <si>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</si>
  <si>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</si>
  <si>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</si>
  <si>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</si>
  <si>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</si>
  <si>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</si>
  <si>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</si>
  <si>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</si>
  <si>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</si>
  <si>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</si>
  <si>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</si>
  <si>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</si>
  <si>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</si>
  <si>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</si>
  <si>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</si>
  <si>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</si>
  <si>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</si>
  <si>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</si>
  <si>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</si>
  <si>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</si>
  <si>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</si>
  <si>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</si>
  <si>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</si>
  <si>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</si>
  <si>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</si>
  <si>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</si>
  <si>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</si>
  <si>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</si>
  <si>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</si>
  <si>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</si>
  <si>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</si>
  <si>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</si>
  <si>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</si>
  <si>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</si>
  <si>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</si>
  <si>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</si>
  <si>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</si>
  <si>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</si>
  <si>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</si>
  <si>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</si>
  <si>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</si>
  <si>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</si>
  <si>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</si>
  <si>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</si>
  <si>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</si>
  <si>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</si>
  <si>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</si>
  <si>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</si>
  <si>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</si>
  <si>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</si>
  <si>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</si>
  <si>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</si>
  <si>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</si>
  <si>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</si>
  <si>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</si>
  <si>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</si>
  <si>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</si>
  <si>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</si>
  <si>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</si>
  <si>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</si>
  <si>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</si>
  <si>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</si>
  <si>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</si>
  <si>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</si>
  <si>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</si>
  <si>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</si>
  <si>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</si>
  <si>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</si>
  <si>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</si>
  <si>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</si>
  <si>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</si>
  <si>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</si>
  <si>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</si>
  <si>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</si>
  <si>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</si>
  <si>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</si>
  <si>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</si>
  <si>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</si>
  <si>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</si>
  <si>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</si>
  <si>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</si>
  <si>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</si>
  <si>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</si>
  <si>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</si>
  <si>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</si>
  <si>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</si>
  <si>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</si>
  <si>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</si>
  <si>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</si>
  <si>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</si>
  <si>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</si>
  <si>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</si>
  <si>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</si>
  <si>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</si>
  <si>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</si>
  <si>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</si>
  <si>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</si>
  <si>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</si>
  <si>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</si>
  <si>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</si>
  <si>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</si>
  <si>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</si>
  <si>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</si>
  <si>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</si>
  <si>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</si>
  <si>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</si>
  <si>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</si>
  <si>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</si>
  <si>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</si>
  <si>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</si>
  <si>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</si>
  <si>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</si>
  <si>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</si>
  <si>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</si>
  <si>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</si>
  <si>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</si>
  <si>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</si>
  <si>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</si>
  <si>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</si>
  <si>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</si>
  <si>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</si>
  <si>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</si>
  <si>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</si>
  <si>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</si>
  <si>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</si>
  <si>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</si>
  <si>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</si>
  <si>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</si>
  <si>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</si>
  <si>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</si>
  <si>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</si>
  <si>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</si>
  <si>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</si>
  <si>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</si>
  <si>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</si>
  <si>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</si>
  <si>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</si>
  <si>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</si>
  <si>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</si>
  <si>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</si>
  <si>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</si>
  <si>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</si>
  <si>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</si>
  <si>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</si>
  <si>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</si>
  <si>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</si>
  <si>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</si>
  <si>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</si>
  <si>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</si>
  <si>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</si>
  <si>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</si>
  <si>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</si>
  <si>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</si>
  <si>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</si>
  <si>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</si>
  <si>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</si>
  <si>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</si>
  <si>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</si>
  <si>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</si>
  <si>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</si>
  <si>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</si>
  <si>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</si>
  <si>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</si>
  <si>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</si>
  <si>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</si>
  <si>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</si>
  <si>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</si>
  <si>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</si>
  <si>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</si>
  <si>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</si>
  <si>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</si>
  <si>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</si>
  <si>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</si>
  <si>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</si>
  <si>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</si>
  <si>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</si>
  <si>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</si>
  <si>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</si>
  <si>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</si>
  <si>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</si>
  <si>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</si>
  <si>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</si>
  <si>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</si>
  <si>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</si>
  <si>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</si>
  <si>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</si>
  <si>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</si>
  <si>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</si>
  <si>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</si>
  <si>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</si>
  <si>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</si>
  <si>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</si>
  <si>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</si>
  <si>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</si>
  <si>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</si>
  <si>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</si>
  <si>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</si>
  <si>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</si>
  <si>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</si>
  <si>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</si>
  <si>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</si>
  <si>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</si>
  <si>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</si>
  <si>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</si>
  <si>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</si>
  <si>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</si>
  <si>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</si>
  <si>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</si>
  <si>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</si>
  <si>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</si>
  <si>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</si>
  <si>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</si>
  <si>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</si>
  <si>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</si>
  <si>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</si>
  <si>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</si>
  <si>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</si>
  <si>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</si>
  <si>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</si>
  <si>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</si>
  <si>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</si>
  <si>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</si>
  <si>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</si>
  <si>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</si>
  <si>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</si>
  <si>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</si>
  <si>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</si>
  <si>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</si>
  <si>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</si>
  <si>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</si>
  <si>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</si>
  <si>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</si>
  <si>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</si>
  <si>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</si>
  <si>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</si>
  <si>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</si>
  <si>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</si>
  <si>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</si>
  <si>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</si>
  <si>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</si>
  <si>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</si>
  <si>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</si>
  <si>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</si>
  <si>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</si>
  <si>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</si>
  <si>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</si>
  <si>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</si>
  <si>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</si>
  <si>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</si>
  <si>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</si>
  <si>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</si>
  <si>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</si>
  <si>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</si>
  <si>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</si>
  <si>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</si>
  <si>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</si>
  <si>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</si>
  <si>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</si>
  <si>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</si>
  <si>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</si>
  <si>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</si>
  <si>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</si>
  <si>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</si>
  <si>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</si>
  <si>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</si>
  <si>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</si>
  <si>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</si>
  <si>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</si>
  <si>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</si>
  <si>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</si>
  <si>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</si>
  <si>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</si>
  <si>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</si>
  <si>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</si>
  <si>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</si>
  <si>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</si>
  <si>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</si>
  <si>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</si>
  <si>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</si>
  <si>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</si>
  <si>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</si>
  <si>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</si>
  <si>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</si>
  <si>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</si>
  <si>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</si>
  <si>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</si>
  <si>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</si>
  <si>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</si>
  <si>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</si>
  <si>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</si>
  <si>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</si>
  <si>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</si>
  <si>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</si>
  <si>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</si>
  <si>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</si>
  <si>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</si>
  <si>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</si>
  <si>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</si>
  <si>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</si>
  <si>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</si>
  <si>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</si>
  <si>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</si>
  <si>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</si>
  <si>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</si>
  <si>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</si>
  <si>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</si>
  <si>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</si>
  <si>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</si>
  <si>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</si>
  <si>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</si>
  <si>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</si>
  <si>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</si>
  <si>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</si>
  <si>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</si>
  <si>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</si>
  <si>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</si>
  <si>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</si>
  <si>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</si>
  <si>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</si>
  <si>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</si>
  <si>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</si>
  <si>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</si>
  <si>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</si>
  <si>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</si>
  <si>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</si>
  <si>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</si>
  <si>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</si>
  <si>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</si>
  <si>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</si>
  <si>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</si>
  <si>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</si>
  <si>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</si>
  <si>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</si>
  <si>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</si>
  <si>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</si>
  <si>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</si>
  <si>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</si>
  <si>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</si>
  <si>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</si>
  <si>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</si>
  <si>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</si>
  <si>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</si>
  <si>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</si>
  <si>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</si>
  <si>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</si>
  <si>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</si>
  <si>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</si>
  <si>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</si>
  <si>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</si>
  <si>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</si>
  <si>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</si>
  <si>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</si>
  <si>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</si>
  <si>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</si>
  <si>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</si>
  <si>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</si>
  <si>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</si>
  <si>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</si>
  <si>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</si>
  <si>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</si>
  <si>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</si>
  <si>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</si>
  <si>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</si>
  <si>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</si>
  <si>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</si>
  <si>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</si>
  <si>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</si>
  <si>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</si>
  <si>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</si>
  <si>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</si>
  <si>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</si>
  <si>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</si>
  <si>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</si>
  <si>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</si>
  <si>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</si>
  <si>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</si>
  <si>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</si>
  <si>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</si>
  <si>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</si>
  <si>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</si>
  <si>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</si>
  <si>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</si>
  <si>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</si>
  <si>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</si>
  <si>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</si>
  <si>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</si>
  <si>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</si>
  <si>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</si>
  <si>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</si>
  <si>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</si>
  <si>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</si>
  <si>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</si>
  <si>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</si>
  <si>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</si>
  <si>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</si>
  <si>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</si>
  <si>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</si>
  <si>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</si>
  <si>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</si>
  <si>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</si>
  <si>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</si>
  <si>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</si>
  <si>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</si>
  <si>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</si>
  <si>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</si>
  <si>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</si>
  <si>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</si>
  <si>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</si>
  <si>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</si>
  <si>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</si>
  <si>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</si>
  <si>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</si>
  <si>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</si>
  <si>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</si>
  <si>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</si>
  <si>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</si>
  <si>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</si>
  <si>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</si>
  <si>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</si>
  <si>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</si>
  <si>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</si>
  <si>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</si>
  <si>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</si>
  <si>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</si>
  <si>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</si>
  <si>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</si>
  <si>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</si>
  <si>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</si>
  <si>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</si>
  <si>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</si>
  <si>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</si>
  <si>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</si>
  <si>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</si>
  <si>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</si>
  <si>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</si>
  <si>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</si>
  <si>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</si>
  <si>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</si>
  <si>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</si>
  <si>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</si>
  <si>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</si>
  <si>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</si>
  <si>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</si>
  <si>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</si>
  <si>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</si>
  <si>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</si>
  <si>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</si>
  <si>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</si>
  <si>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</si>
  <si>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</si>
  <si>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</si>
  <si>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</si>
  <si>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</si>
  <si>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</si>
  <si>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</si>
  <si>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</si>
  <si>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</si>
  <si>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</si>
  <si>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</si>
  <si>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</si>
  <si>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</si>
  <si>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</si>
  <si>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</si>
  <si>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</si>
  <si>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</si>
  <si>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</si>
  <si>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</si>
  <si>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</si>
  <si>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</si>
  <si>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</si>
  <si>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</si>
  <si>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</si>
  <si>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</si>
  <si>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</si>
  <si>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</si>
  <si>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</si>
  <si>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</si>
  <si>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</si>
  <si>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</si>
  <si>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</si>
  <si>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</si>
  <si>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</si>
  <si>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</si>
  <si>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</si>
  <si>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</si>
  <si>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</si>
  <si>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</si>
  <si>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</si>
  <si>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</si>
  <si>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</si>
  <si>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</si>
  <si>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</si>
  <si>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</si>
  <si>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</si>
  <si>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</si>
  <si>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</si>
  <si>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</si>
  <si>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</si>
  <si>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</si>
  <si>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</si>
  <si>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</si>
  <si>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</si>
  <si>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</si>
  <si>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</si>
  <si>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</si>
  <si>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</si>
  <si>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</si>
  <si>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</si>
  <si>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</si>
  <si>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</si>
  <si>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</si>
  <si>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</si>
  <si>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</si>
  <si>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</si>
  <si>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</si>
  <si>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</si>
  <si>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</si>
  <si>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</si>
  <si>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</si>
  <si>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</si>
  <si>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</si>
  <si>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</si>
  <si>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</si>
  <si>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</si>
  <si>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</si>
  <si>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</si>
  <si>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</si>
  <si>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</si>
  <si>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</si>
  <si>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</si>
  <si>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</si>
  <si>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</si>
  <si>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</si>
  <si>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</si>
  <si>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</si>
  <si>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</si>
  <si>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</si>
  <si>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</si>
  <si>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</si>
  <si>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</si>
  <si>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</si>
  <si>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</si>
  <si>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</si>
  <si>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</si>
  <si>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</si>
  <si>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</si>
  <si>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</si>
  <si>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</si>
  <si>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</si>
  <si>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</si>
  <si>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</si>
  <si>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</si>
  <si>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</si>
  <si>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</si>
  <si>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</si>
  <si>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</si>
  <si>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</si>
  <si>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</si>
  <si>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</si>
  <si>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</si>
  <si>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</si>
  <si>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</si>
  <si>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</si>
  <si>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</si>
  <si>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</si>
  <si>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</si>
  <si>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</si>
  <si>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</si>
  <si>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</si>
  <si>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</si>
  <si>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</si>
  <si>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</si>
  <si>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</si>
  <si>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</si>
  <si>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</si>
  <si>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</si>
  <si>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</si>
  <si>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</si>
  <si>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</si>
  <si>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</si>
  <si>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</si>
  <si>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</si>
  <si>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</si>
  <si>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</si>
  <si>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</si>
  <si>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</si>
  <si>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</si>
  <si>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</si>
  <si>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</si>
  <si>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</si>
  <si>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</si>
  <si>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</si>
  <si>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</si>
  <si>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</si>
  <si>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</si>
  <si>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</si>
  <si>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</si>
  <si>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</si>
  <si>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</si>
  <si>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</si>
  <si>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</si>
  <si>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</si>
  <si>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</si>
  <si>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</si>
  <si>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</si>
  <si>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</si>
  <si>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</si>
  <si>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</si>
  <si>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</si>
  <si>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</si>
  <si>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</si>
  <si>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</si>
  <si>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</si>
  <si>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</si>
  <si>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</si>
  <si>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</si>
  <si>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</si>
  <si>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</si>
  <si>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</si>
  <si>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</si>
  <si>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</si>
  <si>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</si>
  <si>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</si>
  <si>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</si>
  <si>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</si>
  <si>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</si>
  <si>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</si>
  <si>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</si>
  <si>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</si>
  <si>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</si>
  <si>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</si>
  <si>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</si>
  <si>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</si>
  <si>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</si>
  <si>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</si>
  <si>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</si>
  <si>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</si>
  <si>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</si>
  <si>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</si>
  <si>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</si>
  <si>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</si>
  <si>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</si>
  <si>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</si>
  <si>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</si>
  <si>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</si>
  <si>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</si>
  <si>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</si>
  <si>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</si>
  <si>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</si>
  <si>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</si>
  <si>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</si>
  <si>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</si>
  <si>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</si>
  <si>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</si>
  <si>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</si>
  <si>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</si>
  <si>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</si>
  <si>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</si>
  <si>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</si>
  <si>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</si>
  <si>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</si>
  <si>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</si>
  <si>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</si>
  <si>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</si>
  <si>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</si>
  <si>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</si>
  <si>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</si>
  <si>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</si>
  <si>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</si>
  <si>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</si>
  <si>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</si>
  <si>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</si>
  <si>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</si>
  <si>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</si>
  <si>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</si>
  <si>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</si>
  <si>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</si>
  <si>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</si>
  <si>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</si>
  <si>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</si>
  <si>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</si>
  <si>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</si>
  <si>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</si>
  <si>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</si>
  <si>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</si>
  <si>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</si>
  <si>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</si>
  <si>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</si>
  <si>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</si>
  <si>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</si>
  <si>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</si>
  <si>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</si>
  <si>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</si>
  <si>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</si>
  <si>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</si>
  <si>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</si>
  <si>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</si>
  <si>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</si>
  <si>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</si>
  <si>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</si>
  <si>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</si>
  <si>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</si>
  <si>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</si>
  <si>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</si>
  <si>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</si>
  <si>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</si>
  <si>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</si>
  <si>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</si>
  <si>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</si>
  <si>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</si>
  <si>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</si>
  <si>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</si>
  <si>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</si>
  <si>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</si>
  <si>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</si>
  <si>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</si>
  <si>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</si>
  <si>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</si>
  <si>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</si>
  <si>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</si>
  <si>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</si>
  <si>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</si>
  <si>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</si>
  <si>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</si>
  <si>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</si>
  <si>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</si>
  <si>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</si>
  <si>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</si>
  <si>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</si>
  <si>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</si>
  <si>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</si>
  <si>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</si>
  <si>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</si>
  <si>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</si>
  <si>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</si>
  <si>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</si>
  <si>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</si>
  <si>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</si>
  <si>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</si>
  <si>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</si>
  <si>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</si>
  <si>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</si>
  <si>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</si>
  <si>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</si>
  <si>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</si>
  <si>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</si>
  <si>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</si>
  <si>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</si>
  <si>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</si>
  <si>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</si>
  <si>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</si>
  <si>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</si>
  <si>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</si>
  <si>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</si>
  <si>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</si>
  <si>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</si>
  <si>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</si>
  <si>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</si>
  <si>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</si>
  <si>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</si>
  <si>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</si>
  <si>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</si>
  <si>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</si>
  <si>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</si>
  <si>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</si>
  <si>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</si>
  <si>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</si>
  <si>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</si>
  <si>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</si>
  <si>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</si>
  <si>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</si>
  <si>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</si>
  <si>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</si>
  <si>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</si>
  <si>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</si>
  <si>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</si>
  <si>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</si>
  <si>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</si>
  <si>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</si>
  <si>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</si>
  <si>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</si>
  <si>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</si>
  <si>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</si>
  <si>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</si>
  <si>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</si>
  <si>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</si>
  <si>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</si>
  <si>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</si>
  <si>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</si>
  <si>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</si>
  <si>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</si>
  <si>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</si>
  <si>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</si>
  <si>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</si>
  <si>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</si>
  <si>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</si>
  <si>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</si>
  <si>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</si>
  <si>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</si>
  <si>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</si>
  <si>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</si>
  <si>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</si>
  <si>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</si>
  <si>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</si>
  <si>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</si>
  <si>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</si>
  <si>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</si>
  <si>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</si>
  <si>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</si>
  <si>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</si>
  <si>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</si>
  <si>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</si>
  <si>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</si>
  <si>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</si>
  <si>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</si>
  <si>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</si>
  <si>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</si>
  <si>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</si>
  <si>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</si>
  <si>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</si>
  <si>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</si>
  <si>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</si>
  <si>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</si>
  <si>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</si>
  <si>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</si>
  <si>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</si>
  <si>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</si>
  <si>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</si>
  <si>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</si>
  <si>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</si>
  <si>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</si>
  <si>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</si>
  <si>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</si>
  <si>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</si>
  <si>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</si>
  <si>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</si>
  <si>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</si>
  <si>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</si>
  <si>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</si>
  <si>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</si>
  <si>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</si>
  <si>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</si>
  <si>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</si>
  <si>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</si>
  <si>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</si>
  <si>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</si>
  <si>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</si>
  <si>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</si>
  <si>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</si>
  <si>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</si>
  <si>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</si>
  <si>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</si>
  <si>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</si>
  <si>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</si>
  <si>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</si>
  <si>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</si>
  <si>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</si>
  <si>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</si>
  <si>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</si>
  <si>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</si>
  <si>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</si>
  <si>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</si>
  <si>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</si>
  <si>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</si>
  <si>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</si>
  <si>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</si>
  <si>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</si>
  <si>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</si>
  <si>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</si>
  <si>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</si>
  <si>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</si>
  <si>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</si>
  <si>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</si>
  <si>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</si>
  <si>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</si>
  <si>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</si>
  <si>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</si>
  <si>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</si>
  <si>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</si>
  <si>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</si>
  <si>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</si>
  <si>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</si>
  <si>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</si>
  <si>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</si>
  <si>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</si>
  <si>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</si>
  <si>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</si>
  <si>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</si>
  <si>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</si>
  <si>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</si>
  <si>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</si>
  <si>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</si>
  <si>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</si>
  <si>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</si>
  <si>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</si>
  <si>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</si>
  <si>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</si>
  <si>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</si>
  <si>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</si>
  <si>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</si>
  <si>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</si>
  <si>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</si>
  <si>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</si>
  <si>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</si>
  <si>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</si>
  <si>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</si>
  <si>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</si>
  <si>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</si>
  <si>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</si>
  <si>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</si>
  <si>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</si>
  <si>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</si>
  <si>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</si>
  <si>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</si>
  <si>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</si>
  <si>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</si>
  <si>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</si>
  <si>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</si>
  <si>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</si>
  <si>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</si>
  <si>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</si>
  <si>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</si>
  <si>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</si>
  <si>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</si>
  <si>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</si>
  <si>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</si>
  <si>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</si>
  <si>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</si>
  <si>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</si>
  <si>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</si>
  <si>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</si>
  <si>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</si>
  <si>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</si>
  <si>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</si>
  <si>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</si>
  <si>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</si>
  <si>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</si>
  <si>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</si>
  <si>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</si>
  <si>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</si>
  <si>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</si>
  <si>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</si>
  <si>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</si>
  <si>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</si>
  <si>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</si>
  <si>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</si>
  <si>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</si>
  <si>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</si>
  <si>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</si>
  <si>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</si>
  <si>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</si>
  <si>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</si>
  <si>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</si>
  <si>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</si>
  <si>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</si>
  <si>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</si>
  <si>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</si>
  <si>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</si>
  <si>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</si>
  <si>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</si>
  <si>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</si>
  <si>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</si>
  <si>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</si>
  <si>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</si>
  <si>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</si>
  <si>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</si>
  <si>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</si>
  <si>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</si>
  <si>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</si>
  <si>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</si>
  <si>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</si>
  <si>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</si>
  <si>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</si>
  <si>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</si>
  <si>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</si>
  <si>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</si>
  <si>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</si>
  <si>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</si>
  <si>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</si>
  <si>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</si>
  <si>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</si>
  <si>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</si>
  <si>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</si>
  <si>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</si>
  <si>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</si>
  <si>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</si>
  <si>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</si>
  <si>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</si>
  <si>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</si>
  <si>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</si>
  <si>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</si>
  <si>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</si>
  <si>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</si>
  <si>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</si>
  <si>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</si>
  <si>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</si>
  <si>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</si>
  <si>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</si>
  <si>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</si>
  <si>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</si>
  <si>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</si>
  <si>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</si>
  <si>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</si>
  <si>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</si>
  <si>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</si>
  <si>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</si>
  <si>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</si>
  <si>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</si>
  <si>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</si>
  <si>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</si>
  <si>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</si>
  <si>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</si>
  <si>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</si>
  <si>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</si>
  <si>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</si>
  <si>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</si>
  <si>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</si>
  <si>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</si>
  <si>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</si>
  <si>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</si>
  <si>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</si>
  <si>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</si>
  <si>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</si>
  <si>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</si>
  <si>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</si>
  <si>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</si>
  <si>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</si>
  <si>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</si>
  <si>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</si>
  <si>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</si>
  <si>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</si>
  <si>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</si>
  <si>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</si>
  <si>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</si>
  <si>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</si>
  <si>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</si>
  <si>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</si>
  <si>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</si>
  <si>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</si>
  <si>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</si>
  <si>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</si>
  <si>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</si>
  <si>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</si>
  <si>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</si>
  <si>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</si>
  <si>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</si>
  <si>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</si>
  <si>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</si>
  <si>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</si>
  <si>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</si>
  <si>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</si>
  <si>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</si>
  <si>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</si>
  <si>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</si>
  <si>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</si>
  <si>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</si>
  <si>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</si>
  <si>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</si>
  <si>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</si>
  <si>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</si>
  <si>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</si>
  <si>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</si>
  <si>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</si>
  <si>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</si>
  <si>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</si>
  <si>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</si>
  <si>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</si>
  <si>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</si>
  <si>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</si>
  <si>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</si>
  <si>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</si>
  <si>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</si>
  <si>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</si>
  <si>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</si>
  <si>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</si>
  <si>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</si>
  <si>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</si>
  <si>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</si>
  <si>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</si>
  <si>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</si>
  <si>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</si>
  <si>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</si>
  <si>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</si>
  <si>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</si>
  <si>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</si>
  <si>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</si>
  <si>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</si>
  <si>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</si>
  <si>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</si>
  <si>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</si>
  <si>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</si>
  <si>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</si>
  <si>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</si>
  <si>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</si>
  <si>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</si>
  <si>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</si>
  <si>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</si>
  <si>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</si>
  <si>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</si>
  <si>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</si>
  <si>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</si>
  <si>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</si>
  <si>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</si>
  <si>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</si>
  <si>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</si>
  <si>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</si>
  <si>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</si>
  <si>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</si>
  <si>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</si>
  <si>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</si>
  <si>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</si>
  <si>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</si>
  <si>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</si>
  <si>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</si>
  <si>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</si>
  <si>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</si>
  <si>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</si>
  <si>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</si>
  <si>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</si>
  <si>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</si>
  <si>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</si>
  <si>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</si>
  <si>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</si>
  <si>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</si>
  <si>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</si>
  <si>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</si>
  <si>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</si>
  <si>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</si>
  <si>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</si>
  <si>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</si>
  <si>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</si>
  <si>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</si>
  <si>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</si>
  <si>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</si>
  <si>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</si>
  <si>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</si>
  <si>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</si>
  <si>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</si>
  <si>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</si>
  <si>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</si>
  <si>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</si>
  <si>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</si>
  <si>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</si>
  <si>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</si>
  <si>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</si>
  <si>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</si>
  <si>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</si>
  <si>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</si>
  <si>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</si>
  <si>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</si>
  <si>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</si>
  <si>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</si>
  <si>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</si>
  <si>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</si>
  <si>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</si>
  <si>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</si>
  <si>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</si>
  <si>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</si>
  <si>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</si>
  <si>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</si>
  <si>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</si>
  <si>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</si>
  <si>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</si>
  <si>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</si>
  <si>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</si>
  <si>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</si>
  <si>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</si>
  <si>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</si>
  <si>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</si>
  <si>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</si>
  <si>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</si>
  <si>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</si>
  <si>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</si>
  <si>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</si>
  <si>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</si>
  <si>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</si>
  <si>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</si>
  <si>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</si>
  <si>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</si>
  <si>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</si>
  <si>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</si>
  <si>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</si>
  <si>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</si>
  <si>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</si>
  <si>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</si>
  <si>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</si>
  <si>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</si>
  <si>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</si>
  <si>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</si>
  <si>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</si>
  <si>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</si>
  <si>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</si>
  <si>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</si>
  <si>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</si>
  <si>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</si>
  <si>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</si>
  <si>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</si>
  <si>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</si>
  <si>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</si>
  <si>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</si>
  <si>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</si>
  <si>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</si>
  <si>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</si>
  <si>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</si>
  <si>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</si>
  <si>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</si>
  <si>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</si>
  <si>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</si>
  <si>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</si>
  <si>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</si>
  <si>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</si>
  <si>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</si>
  <si>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</si>
  <si>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</si>
  <si>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</si>
  <si>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</si>
  <si>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</si>
  <si>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</si>
  <si>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</si>
  <si>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</si>
  <si>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</si>
  <si>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</si>
  <si>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</si>
  <si>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</si>
  <si>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</si>
  <si>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</si>
  <si>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</si>
  <si>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</si>
  <si>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</si>
  <si>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</si>
  <si>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</si>
  <si>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</si>
  <si>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</si>
  <si>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</si>
  <si>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</si>
  <si>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</si>
  <si>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</si>
  <si>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</si>
  <si>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</si>
  <si>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</si>
  <si>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</si>
  <si>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</si>
  <si>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</si>
  <si>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</si>
  <si>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</si>
  <si>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</si>
  <si>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</si>
  <si>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</si>
  <si>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</si>
  <si>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</si>
  <si>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</si>
  <si>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</si>
  <si>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</si>
  <si>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</si>
  <si>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</si>
  <si>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</si>
  <si>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</si>
  <si>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</si>
  <si>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</si>
  <si>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</si>
  <si>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</si>
  <si>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</si>
  <si>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</si>
  <si>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</si>
  <si>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</si>
  <si>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</si>
  <si>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</si>
  <si>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</si>
  <si>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</si>
  <si>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</si>
  <si>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</si>
  <si>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</si>
  <si>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</si>
  <si>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</si>
  <si>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</si>
  <si>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</si>
  <si>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</si>
  <si>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</si>
  <si>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</si>
  <si>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</si>
  <si>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</si>
  <si>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</si>
  <si>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</si>
  <si>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</si>
  <si>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</si>
  <si>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</si>
  <si>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</si>
  <si>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</si>
  <si>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</si>
  <si>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</si>
  <si>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</si>
  <si>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</si>
  <si>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</si>
  <si>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</si>
  <si>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</si>
  <si>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</si>
  <si>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</si>
  <si>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</si>
  <si>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</si>
  <si>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</si>
  <si>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</si>
  <si>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</si>
  <si>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</si>
  <si>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</si>
  <si>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</si>
  <si>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</si>
  <si>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</si>
  <si>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</si>
  <si>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</si>
  <si>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</si>
  <si>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</si>
  <si>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</si>
  <si>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</si>
  <si>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</si>
  <si>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</si>
  <si>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</si>
  <si>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</si>
  <si>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</si>
  <si>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</si>
  <si>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</si>
  <si>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</si>
  <si>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</si>
  <si>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</si>
  <si>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</si>
  <si>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</si>
  <si>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</si>
  <si>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</si>
  <si>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</si>
  <si>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</si>
  <si>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</si>
  <si>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</si>
  <si>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</si>
  <si>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</si>
  <si>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</si>
  <si>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</si>
  <si>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</si>
  <si>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</si>
  <si>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</si>
  <si>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</si>
  <si>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</si>
  <si>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</si>
  <si>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</si>
  <si>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</si>
  <si>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</si>
  <si>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</si>
  <si>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</si>
  <si>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</si>
  <si>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</si>
  <si>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</si>
  <si>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</si>
  <si>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</si>
  <si>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</si>
  <si>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</si>
  <si>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</si>
  <si>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</si>
  <si>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</si>
  <si>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</si>
  <si>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</si>
  <si>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</si>
  <si>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</si>
  <si>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</si>
  <si>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</si>
  <si>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</si>
  <si>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</si>
  <si>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</si>
  <si>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</si>
  <si>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</si>
  <si>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</si>
  <si>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</si>
  <si>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</si>
  <si>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</si>
  <si>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</si>
  <si>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</si>
  <si>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</si>
  <si>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</si>
  <si>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</si>
  <si>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</si>
  <si>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</si>
  <si>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</si>
  <si>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</si>
  <si>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</si>
  <si>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</si>
  <si>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</si>
  <si>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</si>
  <si>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</si>
  <si>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</si>
  <si>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</si>
  <si>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</si>
  <si>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</si>
  <si>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</si>
  <si>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</si>
  <si>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</si>
  <si>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</si>
  <si>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</si>
  <si>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</si>
  <si>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</si>
  <si>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</si>
  <si>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</si>
  <si>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</si>
  <si>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</si>
  <si>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</si>
  <si>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</si>
  <si>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</si>
  <si>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</si>
  <si>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</si>
  <si>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</si>
  <si>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</si>
  <si>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</si>
  <si>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</si>
  <si>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</si>
  <si>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</si>
  <si>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</si>
  <si>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</si>
  <si>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</si>
  <si>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</si>
  <si>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</si>
  <si>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</si>
  <si>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</si>
  <si>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</si>
  <si>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</si>
  <si>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</si>
  <si>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</si>
  <si>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</si>
  <si>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</si>
  <si>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</si>
  <si>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</si>
  <si>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</si>
  <si>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</si>
  <si>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</si>
  <si>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</si>
  <si>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</si>
  <si>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</si>
  <si>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</si>
  <si>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</si>
  <si>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</si>
  <si>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</si>
  <si>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</si>
  <si>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</si>
  <si>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</si>
  <si>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</si>
  <si>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</si>
  <si>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</si>
  <si>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</si>
  <si>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</si>
  <si>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</si>
  <si>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</si>
  <si>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</si>
  <si>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</si>
  <si>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</si>
  <si>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</si>
  <si>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</si>
  <si>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</si>
  <si>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</si>
  <si>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</si>
  <si>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</si>
  <si>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</si>
  <si>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</si>
  <si>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</si>
  <si>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</si>
  <si>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</si>
  <si>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</si>
  <si>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</si>
  <si>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</si>
  <si>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</si>
  <si>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</si>
  <si>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</si>
  <si>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</si>
  <si>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</si>
  <si>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</si>
  <si>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</si>
  <si>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</si>
  <si>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</si>
  <si>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</si>
  <si>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</si>
  <si>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</si>
  <si>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</si>
  <si>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</si>
  <si>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</si>
  <si>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</si>
  <si>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</si>
  <si>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</si>
  <si>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</si>
  <si>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</si>
  <si>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</si>
  <si>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</si>
  <si>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</si>
  <si>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</si>
  <si>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</si>
  <si>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</si>
  <si>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</si>
  <si>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</si>
  <si>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</si>
  <si>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</si>
  <si>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</si>
  <si>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</si>
  <si>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</si>
  <si>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</si>
  <si>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</si>
  <si>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</si>
  <si>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</si>
  <si>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</si>
  <si>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</si>
  <si>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</si>
  <si>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</si>
  <si>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</si>
  <si>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</si>
  <si>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</si>
  <si>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</si>
  <si>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</si>
  <si>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</si>
  <si>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</si>
  <si>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</si>
  <si>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</si>
  <si>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</si>
  <si>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</si>
  <si>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</si>
  <si>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</si>
  <si>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</si>
  <si>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</si>
  <si>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</si>
  <si>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</si>
  <si>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</si>
  <si>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</si>
  <si>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</si>
  <si>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</si>
  <si>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</si>
  <si>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</si>
  <si>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</si>
  <si>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</si>
  <si>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</si>
  <si>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</si>
  <si>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</si>
  <si>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</si>
  <si>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</si>
  <si>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</si>
  <si>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</si>
  <si>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</si>
  <si>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</si>
  <si>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</si>
  <si>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</si>
  <si>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</si>
  <si>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</si>
  <si>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</si>
  <si>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</si>
  <si>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</si>
  <si>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</si>
  <si>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</si>
  <si>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</si>
  <si>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</si>
  <si>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</si>
  <si>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</si>
  <si>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</si>
  <si>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</si>
  <si>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</si>
  <si>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</si>
  <si>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</si>
  <si>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</si>
  <si>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</si>
  <si>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</si>
  <si>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</si>
  <si>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</si>
  <si>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</si>
  <si>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</si>
  <si>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</si>
  <si>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</si>
  <si>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</si>
  <si>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</si>
  <si>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</si>
  <si>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</si>
  <si>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</si>
  <si>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</si>
  <si>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</si>
  <si>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</si>
  <si>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</si>
  <si>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</si>
  <si>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</si>
  <si>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</si>
  <si>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</si>
  <si>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</si>
  <si>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</si>
  <si>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</si>
  <si>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</si>
  <si>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</si>
  <si>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</si>
  <si>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</si>
  <si>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</si>
  <si>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</si>
  <si>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</si>
  <si>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</si>
  <si>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</si>
  <si>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</si>
  <si>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</si>
  <si>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</si>
  <si>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</si>
  <si>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</si>
  <si>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</si>
  <si>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</si>
  <si>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</si>
  <si>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</si>
  <si>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</si>
  <si>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</si>
  <si>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</si>
  <si>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</si>
  <si>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</si>
  <si>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</si>
  <si>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</si>
  <si>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</si>
  <si>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</si>
  <si>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</si>
  <si>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</si>
  <si>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</si>
  <si>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</si>
  <si>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</si>
  <si>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</si>
  <si>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</si>
  <si>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</si>
  <si>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</si>
  <si>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</si>
  <si>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</si>
  <si>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</si>
  <si>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</si>
  <si>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</si>
  <si>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</si>
  <si>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</si>
  <si>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</si>
  <si>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</si>
  <si>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</si>
  <si>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</si>
  <si>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</si>
  <si>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</si>
  <si>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</si>
  <si>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</si>
  <si>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</si>
  <si>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</si>
  <si>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</si>
  <si>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</si>
  <si>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</si>
  <si>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</si>
  <si>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</si>
  <si>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</si>
  <si>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</si>
  <si>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</si>
  <si>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</si>
  <si>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</si>
  <si>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</si>
  <si>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</si>
  <si>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</si>
  <si>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</si>
  <si>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</si>
  <si>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</si>
  <si>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</si>
  <si>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</si>
  <si>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</si>
  <si>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</si>
  <si>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</si>
  <si>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</si>
  <si>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</si>
  <si>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</si>
  <si>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</si>
  <si>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</si>
  <si>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</si>
  <si>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</si>
  <si>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</si>
  <si>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</si>
  <si>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</si>
  <si>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</si>
  <si>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</si>
  <si>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</si>
  <si>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</si>
  <si>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</si>
  <si>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</si>
  <si>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</si>
  <si>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</si>
  <si>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</si>
  <si>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</si>
  <si>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</si>
  <si>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</si>
  <si>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</si>
  <si>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</si>
  <si>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</si>
  <si>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</si>
  <si>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</si>
  <si>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</si>
  <si>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</si>
  <si>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</si>
  <si>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</si>
  <si>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</si>
  <si>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</si>
  <si>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</si>
  <si>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</si>
  <si>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</si>
  <si>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</si>
  <si>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</si>
  <si>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</si>
  <si>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</si>
  <si>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</si>
  <si>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</si>
  <si>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</si>
  <si>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</si>
  <si>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</si>
  <si>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</si>
  <si>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</si>
  <si>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</si>
  <si>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</si>
  <si>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</si>
  <si>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</si>
  <si>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</si>
  <si>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</si>
  <si>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</si>
  <si>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</si>
  <si>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</si>
  <si>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</si>
  <si>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</si>
  <si>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</si>
  <si>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</si>
  <si>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</si>
  <si>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</si>
  <si>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</si>
  <si>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</si>
  <si>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</si>
  <si>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</si>
  <si>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</si>
  <si>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</si>
  <si>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</si>
  <si>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</si>
  <si>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</si>
  <si>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</si>
  <si>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</si>
  <si>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</si>
  <si>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</si>
  <si>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</si>
  <si>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</si>
  <si>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</si>
  <si>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</si>
  <si>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</si>
  <si>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</si>
  <si>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</si>
  <si>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</si>
  <si>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</si>
  <si>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</si>
  <si>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</si>
  <si>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</si>
  <si>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</si>
  <si>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</si>
  <si>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</si>
  <si>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</si>
  <si>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</si>
  <si>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</si>
  <si>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</si>
  <si>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</si>
  <si>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</si>
  <si>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</si>
  <si>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</si>
  <si>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</si>
  <si>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</si>
  <si>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</si>
  <si>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</si>
  <si>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</si>
  <si>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</si>
  <si>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</si>
  <si>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</si>
  <si>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</si>
  <si>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</si>
  <si>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</si>
  <si>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</si>
  <si>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</si>
  <si>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</si>
  <si>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</si>
  <si>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</si>
  <si>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</si>
  <si>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</si>
  <si>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</si>
  <si>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</si>
  <si>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</si>
  <si>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</si>
  <si>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</si>
  <si>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</si>
  <si>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</si>
  <si>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</si>
  <si>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</si>
  <si>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</si>
  <si>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</si>
  <si>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</si>
  <si>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</si>
  <si>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</si>
  <si>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</si>
  <si>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</si>
  <si>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</si>
  <si>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</si>
  <si>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</si>
  <si>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</si>
  <si>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</si>
  <si>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</si>
  <si>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</si>
  <si>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</si>
  <si>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</si>
  <si>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</si>
  <si>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</si>
  <si>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</si>
  <si>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</si>
  <si>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</si>
  <si>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</si>
  <si>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</si>
  <si>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</si>
  <si>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</si>
  <si>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</si>
  <si>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</si>
  <si>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</si>
  <si>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</si>
  <si>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</si>
  <si>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</si>
  <si>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</si>
  <si>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</si>
  <si>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</si>
  <si>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</si>
  <si>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</si>
  <si>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</si>
  <si>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</si>
  <si>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</si>
  <si>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</si>
  <si>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</si>
  <si>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</si>
  <si>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</si>
  <si>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</si>
  <si>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</si>
  <si>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</si>
  <si>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</si>
  <si>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</si>
  <si>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</si>
  <si>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</si>
  <si>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</si>
  <si>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</si>
  <si>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</si>
  <si>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</si>
  <si>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</si>
  <si>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</si>
  <si>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</si>
  <si>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</si>
  <si>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</si>
  <si>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</si>
  <si>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</si>
  <si>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</si>
  <si>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</si>
  <si>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</si>
  <si>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</si>
  <si>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</si>
  <si>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</si>
  <si>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</si>
  <si>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</si>
  <si>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</si>
  <si>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</si>
  <si>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</si>
  <si>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</si>
  <si>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</si>
  <si>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</si>
  <si>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</si>
  <si>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</si>
  <si>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</si>
  <si>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</si>
  <si>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</si>
  <si>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</si>
  <si>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</si>
  <si>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</si>
  <si>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</si>
  <si>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</si>
  <si>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</si>
  <si>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</si>
  <si>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</si>
  <si>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</si>
  <si>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</si>
  <si>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</si>
  <si>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</si>
  <si>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</si>
  <si>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</si>
  <si>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</si>
  <si>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</si>
  <si>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</si>
  <si>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</si>
  <si>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</si>
  <si>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</si>
  <si>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</si>
  <si>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</si>
  <si>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</si>
  <si>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</si>
  <si>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</si>
  <si>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</si>
  <si>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</si>
  <si>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</si>
  <si>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</si>
  <si>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</si>
  <si>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</si>
  <si>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</si>
  <si>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</si>
  <si>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</si>
  <si>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</si>
  <si>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</si>
  <si>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</si>
  <si>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</si>
  <si>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</si>
  <si>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</si>
  <si>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</si>
  <si>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</si>
  <si>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</si>
  <si>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</si>
  <si>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</si>
  <si>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</si>
  <si>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</si>
  <si>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</si>
  <si>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</si>
  <si>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</si>
  <si>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</si>
  <si>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</si>
  <si>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</si>
  <si>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</si>
  <si>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</si>
  <si>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</si>
  <si>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</si>
  <si>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</si>
  <si>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</si>
  <si>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</si>
  <si>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</si>
  <si>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</si>
  <si>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</si>
  <si>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</si>
  <si>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</si>
  <si>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</si>
  <si>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</si>
  <si>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</si>
  <si>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</si>
  <si>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</si>
  <si>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</si>
  <si>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</si>
  <si>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</si>
  <si>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</si>
  <si>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</si>
  <si>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</si>
  <si>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</si>
  <si>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</si>
  <si>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</si>
  <si>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</si>
  <si>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</si>
  <si>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</si>
  <si>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</si>
  <si>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</si>
  <si>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</si>
  <si>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</si>
  <si>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</si>
  <si>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</si>
  <si>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</si>
  <si>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</si>
  <si>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</si>
  <si>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</si>
  <si>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</si>
  <si>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</si>
  <si>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</si>
  <si>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</si>
  <si>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</si>
  <si>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</si>
  <si>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</si>
  <si>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</si>
  <si>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</si>
  <si>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</si>
  <si>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</si>
  <si>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</si>
  <si>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</si>
  <si>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</si>
  <si>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</si>
  <si>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</si>
  <si>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</si>
  <si>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</si>
  <si>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</si>
  <si>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</si>
  <si>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</si>
  <si>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</si>
  <si>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</si>
  <si>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</si>
  <si>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</si>
  <si>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</si>
  <si>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</si>
  <si>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</si>
  <si>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</si>
  <si>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</si>
  <si>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</si>
  <si>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</si>
  <si>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</si>
  <si>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</si>
  <si>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</si>
  <si>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</si>
  <si>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</si>
  <si>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</si>
  <si>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</si>
  <si>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</si>
  <si>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</si>
  <si>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</si>
  <si>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</si>
  <si>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</si>
  <si>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</si>
  <si>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</si>
  <si>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</si>
  <si>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</si>
  <si>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</si>
  <si>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</si>
  <si>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</si>
  <si>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</si>
  <si>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</si>
  <si>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</si>
  <si>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</si>
  <si>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</si>
  <si>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</si>
  <si>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</si>
  <si>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</si>
  <si>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</si>
  <si>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</si>
  <si>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</si>
  <si>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</si>
  <si>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</si>
  <si>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</si>
  <si>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</si>
  <si>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</si>
  <si>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</si>
  <si>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</si>
  <si>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</si>
  <si>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</si>
  <si>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</si>
  <si>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</si>
  <si>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</si>
  <si>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</si>
  <si>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</si>
  <si>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</si>
  <si>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</si>
  <si>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</si>
  <si>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</si>
  <si>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</si>
  <si>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</si>
  <si>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</si>
  <si>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</si>
  <si>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</si>
  <si>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</si>
  <si>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</si>
  <si>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</si>
  <si>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</si>
  <si>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</si>
  <si>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</si>
  <si>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</si>
  <si>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</si>
  <si>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</si>
  <si>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</si>
  <si>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</si>
  <si>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</si>
  <si>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</si>
  <si>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</si>
  <si>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</si>
  <si>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</si>
  <si>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</si>
  <si>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</si>
  <si>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</si>
  <si>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</si>
  <si>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</si>
  <si>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</si>
  <si>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</si>
  <si>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</si>
  <si>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</si>
  <si>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</si>
  <si>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</si>
  <si>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</si>
  <si>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</si>
  <si>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</si>
  <si>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</si>
  <si>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</si>
  <si>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</si>
  <si>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</si>
  <si>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</si>
  <si>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</si>
  <si>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</si>
  <si>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</si>
  <si>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</si>
  <si>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</si>
  <si>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</si>
  <si>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</si>
  <si>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</si>
  <si>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</si>
  <si>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</si>
  <si>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</si>
  <si>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</si>
  <si>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</si>
  <si>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</si>
  <si>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</si>
  <si>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</si>
  <si>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</si>
  <si>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</si>
  <si>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</si>
  <si>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</si>
  <si>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</si>
  <si>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</si>
  <si>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</si>
  <si>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</si>
  <si>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</si>
  <si>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</si>
  <si>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</si>
  <si>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</si>
  <si>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</si>
  <si>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</si>
  <si>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</si>
  <si>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</si>
  <si>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</si>
  <si>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</si>
  <si>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</si>
  <si>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</si>
  <si>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</si>
  <si>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</si>
  <si>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</si>
  <si>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</si>
  <si>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</si>
  <si>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</si>
  <si>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</si>
  <si>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</si>
  <si>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</si>
  <si>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</si>
  <si>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</si>
  <si>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</si>
  <si>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</si>
  <si>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</si>
  <si>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</si>
  <si>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</si>
  <si>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</si>
  <si>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</si>
  <si>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</si>
  <si>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</si>
  <si>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</si>
  <si>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</si>
  <si>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</si>
  <si>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</si>
  <si>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</si>
  <si>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</si>
  <si>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</si>
  <si>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</si>
  <si>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</si>
  <si>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</si>
  <si>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</si>
  <si>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</si>
  <si>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</si>
  <si>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</si>
  <si>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</si>
  <si>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</si>
  <si>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</si>
  <si>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</si>
  <si>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</si>
  <si>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</si>
  <si>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</si>
  <si>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</si>
  <si>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</si>
  <si>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</si>
  <si>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</si>
  <si>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</si>
  <si>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</si>
  <si>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</si>
  <si>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</si>
  <si>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</si>
  <si>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</si>
  <si>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</si>
  <si>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</si>
  <si>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</si>
  <si>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</si>
  <si>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</si>
  <si>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</si>
  <si>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</si>
  <si>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</si>
  <si>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</si>
  <si>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</si>
  <si>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</si>
  <si>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</si>
  <si>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</si>
  <si>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</si>
  <si>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</si>
  <si>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</si>
  <si>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</si>
  <si>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</si>
  <si>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</si>
  <si>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</si>
  <si>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</si>
  <si>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</si>
  <si>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</si>
  <si>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</si>
  <si>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</si>
  <si>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</si>
  <si>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</si>
  <si>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</si>
  <si>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</si>
  <si>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</si>
  <si>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</si>
  <si>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</si>
  <si>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</si>
  <si>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</si>
  <si>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</si>
  <si>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</si>
  <si>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</si>
  <si>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</si>
  <si>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</si>
  <si>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</si>
  <si>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</si>
  <si>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</si>
  <si>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</si>
  <si>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</si>
  <si>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</si>
  <si>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</si>
  <si>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</si>
  <si>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</si>
  <si>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</si>
  <si>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</si>
  <si>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</si>
  <si>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</si>
  <si>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</si>
  <si>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</si>
  <si>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</si>
  <si>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</si>
  <si>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</si>
  <si>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</si>
  <si>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</si>
  <si>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</si>
  <si>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</si>
  <si>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</si>
  <si>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</si>
  <si>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</si>
  <si>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</si>
  <si>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</si>
  <si>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</si>
  <si>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</si>
  <si>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</si>
  <si>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</si>
  <si>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</si>
  <si>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</si>
  <si>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</si>
  <si>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</si>
  <si>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</si>
  <si>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</si>
  <si>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</si>
  <si>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</si>
  <si>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</si>
  <si>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</si>
  <si>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</si>
  <si>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</si>
  <si>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</si>
  <si>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</si>
  <si>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</si>
  <si>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</si>
  <si>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</si>
  <si>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</si>
  <si>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</si>
  <si>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</si>
  <si>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</si>
  <si>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</si>
  <si>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</si>
  <si>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</si>
  <si>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</si>
  <si>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</si>
  <si>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</si>
  <si>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</si>
  <si>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</si>
  <si>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</si>
  <si>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</si>
  <si>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</si>
  <si>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</si>
  <si>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</si>
  <si>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</si>
  <si>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</si>
  <si>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</si>
  <si>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</si>
  <si>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</si>
  <si>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</si>
  <si>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</si>
  <si>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</si>
  <si>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</si>
  <si>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</si>
  <si>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</si>
  <si>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</si>
  <si>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</si>
  <si>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</si>
  <si>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</si>
  <si>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</si>
  <si>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</si>
  <si>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</si>
  <si>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</si>
  <si>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</si>
  <si>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</si>
  <si>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</si>
  <si>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</si>
  <si>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</si>
  <si>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</si>
  <si>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</si>
  <si>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</si>
  <si>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</si>
  <si>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</si>
  <si>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</si>
  <si>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</si>
  <si>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</si>
  <si>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</si>
  <si>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</si>
  <si>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</si>
  <si>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</si>
  <si>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</si>
  <si>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</si>
  <si>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</si>
  <si>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</si>
  <si>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</si>
  <si>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</si>
  <si>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</si>
  <si>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</si>
  <si>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</si>
  <si>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</si>
  <si>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</si>
  <si>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</si>
  <si>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</si>
  <si>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</si>
  <si>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</si>
  <si>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</si>
  <si>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</si>
  <si>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</si>
  <si>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</si>
  <si>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</si>
  <si>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</si>
  <si>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</si>
  <si>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</si>
  <si>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</si>
  <si>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</si>
  <si>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</si>
  <si>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</si>
  <si>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</si>
  <si>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</si>
  <si>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</si>
  <si>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</si>
  <si>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</si>
  <si>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</si>
  <si>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</si>
  <si>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</si>
  <si>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</si>
  <si>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</si>
  <si>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</si>
  <si>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</si>
  <si>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</si>
  <si>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</si>
  <si>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</si>
  <si>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</si>
  <si>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</si>
  <si>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</si>
  <si>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</si>
  <si>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</si>
  <si>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</si>
  <si>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</si>
  <si>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</si>
  <si>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</si>
  <si>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</si>
  <si>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</si>
  <si>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</si>
  <si>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</si>
  <si>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</si>
  <si>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</si>
  <si>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</si>
  <si>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</si>
  <si>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</si>
  <si>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</si>
  <si>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</si>
  <si>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</si>
  <si>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</si>
  <si>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</si>
  <si>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</si>
  <si>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</si>
  <si>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</si>
  <si>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</si>
  <si>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</si>
  <si>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</si>
  <si>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</si>
  <si>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</si>
  <si>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</si>
  <si>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</si>
  <si>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</si>
  <si>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</si>
  <si>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</si>
  <si>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</si>
  <si>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</si>
  <si>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</si>
  <si>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</si>
  <si>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</si>
  <si>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</si>
  <si>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</si>
  <si>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</si>
  <si>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</si>
  <si>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</si>
  <si>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</si>
  <si>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</si>
  <si>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</si>
  <si>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</si>
  <si>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</si>
  <si>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</si>
  <si>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</si>
  <si>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</si>
  <si>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</si>
  <si>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</si>
  <si>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</si>
  <si>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</si>
  <si>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</si>
  <si>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</si>
  <si>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</si>
  <si>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</si>
  <si>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</si>
  <si>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</si>
  <si>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</si>
  <si>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</si>
  <si>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</si>
  <si>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</si>
  <si>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</si>
  <si>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</si>
  <si>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</si>
  <si>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</si>
  <si>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</si>
  <si>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</si>
  <si>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</si>
  <si>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</si>
  <si>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</si>
  <si>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</si>
  <si>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</si>
  <si>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</si>
  <si>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</si>
  <si>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</si>
  <si>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</si>
  <si>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</si>
  <si>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</si>
  <si>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</si>
  <si>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</si>
  <si>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</si>
  <si>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</si>
  <si>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</si>
  <si>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</si>
  <si>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</si>
  <si>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</si>
  <si>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</si>
  <si>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</si>
  <si>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</si>
  <si>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</si>
  <si>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</si>
  <si>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</si>
  <si>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</si>
  <si>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</si>
  <si>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</si>
  <si>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</si>
  <si>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</si>
  <si>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</si>
  <si>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</si>
  <si>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</si>
  <si>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</si>
  <si>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</si>
  <si>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</si>
  <si>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</si>
  <si>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</si>
  <si>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</si>
  <si>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</si>
  <si>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</si>
  <si>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</si>
  <si>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</si>
  <si>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</si>
  <si>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</si>
  <si>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</si>
  <si>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</si>
  <si>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</si>
  <si>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</si>
  <si>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</si>
  <si>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</si>
  <si>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</si>
  <si>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</si>
  <si>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</si>
  <si>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</si>
  <si>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</si>
  <si>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</si>
  <si>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</si>
  <si>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</si>
  <si>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</si>
  <si>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</si>
  <si>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</si>
  <si>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</si>
  <si>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</si>
  <si>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</si>
  <si>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</si>
  <si>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</si>
  <si>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</si>
  <si>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</si>
  <si>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</si>
  <si>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</si>
  <si>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</si>
  <si>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</si>
  <si>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</si>
  <si>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</si>
  <si>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</si>
  <si>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</si>
  <si>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</si>
  <si>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</si>
  <si>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</si>
  <si>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</si>
  <si>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</si>
  <si>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</si>
  <si>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</si>
  <si>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</si>
  <si>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</si>
  <si>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</si>
  <si>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</si>
  <si>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</si>
  <si>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</si>
  <si>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</si>
  <si>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</si>
  <si>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</si>
  <si>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</si>
  <si>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</si>
  <si>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</si>
  <si>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</si>
  <si>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</si>
  <si>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</si>
  <si>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</si>
  <si>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</si>
  <si>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</si>
  <si>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</si>
  <si>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</si>
  <si>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</si>
  <si>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</si>
  <si>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</si>
  <si>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</si>
  <si>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</si>
  <si>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</si>
  <si>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</si>
  <si>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</si>
  <si>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</si>
  <si>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</si>
  <si>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</si>
  <si>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</si>
  <si>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</si>
  <si>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</si>
  <si>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</si>
  <si>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</si>
  <si>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</si>
  <si>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</si>
  <si>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</si>
  <si>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</si>
  <si>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</si>
  <si>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</si>
  <si>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</si>
  <si>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</si>
  <si>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</si>
  <si>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</si>
  <si>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</si>
  <si>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</si>
  <si>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</si>
  <si>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</si>
  <si>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</si>
  <si>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</si>
  <si>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</si>
  <si>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</si>
  <si>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</si>
  <si>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</si>
  <si>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</si>
  <si>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</si>
  <si>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</si>
  <si>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</si>
  <si>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</si>
  <si>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</si>
  <si>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</si>
  <si>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</si>
  <si>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</si>
  <si>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</si>
  <si>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</si>
  <si>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</si>
  <si>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</si>
  <si>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</si>
  <si>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</si>
  <si>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</si>
  <si>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</si>
  <si>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</si>
  <si>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</si>
  <si>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</si>
  <si>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</si>
  <si>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</si>
  <si>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</si>
  <si>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</si>
  <si>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</si>
  <si>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</si>
  <si>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</si>
  <si>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</si>
  <si>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</si>
  <si>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</si>
  <si>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</si>
  <si>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</si>
  <si>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</si>
  <si>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</si>
  <si>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</si>
  <si>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</si>
  <si>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</si>
  <si>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</si>
  <si>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</si>
  <si>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</si>
  <si>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</si>
  <si>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</si>
  <si>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</si>
  <si>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</si>
  <si>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</si>
  <si>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</si>
  <si>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</si>
  <si>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</si>
  <si>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</si>
  <si>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</si>
  <si>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</si>
  <si>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</si>
  <si>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</si>
  <si>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</si>
  <si>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</si>
  <si>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</si>
  <si>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</si>
  <si>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</si>
  <si>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</si>
  <si>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</si>
  <si>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</si>
  <si>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</si>
  <si>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</si>
  <si>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</si>
  <si>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</si>
  <si>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</si>
  <si>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</si>
  <si>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</si>
  <si>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</si>
  <si>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</si>
  <si>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</si>
  <si>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</si>
  <si>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</si>
  <si>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</si>
  <si>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</si>
  <si>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</si>
  <si>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</si>
  <si>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</si>
  <si>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</si>
  <si>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</si>
  <si>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</si>
  <si>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</si>
  <si>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</si>
  <si>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</si>
  <si>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</si>
  <si>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</si>
  <si>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</si>
  <si>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</si>
  <si>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</si>
  <si>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</si>
  <si>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</si>
  <si>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</si>
  <si>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</si>
  <si>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</si>
  <si>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</si>
  <si>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</si>
  <si>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</si>
  <si>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</si>
  <si>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</si>
  <si>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</si>
  <si>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</si>
  <si>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</si>
  <si>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</si>
  <si>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</si>
  <si>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</si>
  <si>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</si>
  <si>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</si>
  <si>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</si>
  <si>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</si>
  <si>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</si>
  <si>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</si>
  <si>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</si>
  <si>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</si>
  <si>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</si>
  <si>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</si>
  <si>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</si>
  <si>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</si>
  <si>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</si>
  <si>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</si>
  <si>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</si>
  <si>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</si>
  <si>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</si>
  <si>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</si>
  <si>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</si>
  <si>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</si>
  <si>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</si>
  <si>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</si>
  <si>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</si>
  <si>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</si>
  <si>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</si>
  <si>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</si>
  <si>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</si>
  <si>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</si>
  <si>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</si>
  <si>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</si>
  <si>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</si>
  <si>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</si>
  <si>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</si>
  <si>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</si>
  <si>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</si>
  <si>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</si>
  <si>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</si>
  <si>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</si>
  <si>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</si>
  <si>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</si>
  <si>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</si>
  <si>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</si>
  <si>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</si>
  <si>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</si>
  <si>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</si>
  <si>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</si>
  <si>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</si>
  <si>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</si>
  <si>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</si>
  <si>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</si>
  <si>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</si>
  <si>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</si>
  <si>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</si>
  <si>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</si>
  <si>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</si>
  <si>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</si>
  <si>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</si>
  <si>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</si>
  <si>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</si>
  <si>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</si>
  <si>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</si>
  <si>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</si>
  <si>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</si>
  <si>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</si>
  <si>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</si>
  <si>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</si>
  <si>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</si>
  <si>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</si>
  <si>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</si>
  <si>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</si>
  <si>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</si>
  <si>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</si>
  <si>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</si>
  <si>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</si>
  <si>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</si>
  <si>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</si>
  <si>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</si>
  <si>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</si>
  <si>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</si>
  <si>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</si>
  <si>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</si>
  <si>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</si>
  <si>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</si>
  <si>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</si>
  <si>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</si>
  <si>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</si>
  <si>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</si>
  <si>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</si>
  <si>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</si>
  <si>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</si>
  <si>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</si>
  <si>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</si>
  <si>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</si>
  <si>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</si>
  <si>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</si>
  <si>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</si>
  <si>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</si>
  <si>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</si>
  <si>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</si>
  <si>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</si>
  <si>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</si>
  <si>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</si>
  <si>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</si>
  <si>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</si>
  <si>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</si>
  <si>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</si>
  <si>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</si>
  <si>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</si>
  <si>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</si>
  <si>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</si>
  <si>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</si>
  <si>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</si>
  <si>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</si>
  <si>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</si>
  <si>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</si>
  <si>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</si>
  <si>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</si>
  <si>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</si>
  <si>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</si>
  <si>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</si>
  <si>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</si>
  <si>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</si>
  <si>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</si>
  <si>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</si>
  <si>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</si>
  <si>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</si>
  <si>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</si>
  <si>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</si>
  <si>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</si>
  <si>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</si>
  <si>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</si>
  <si>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</si>
  <si>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</si>
  <si>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</si>
  <si>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</si>
  <si>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</si>
  <si>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</si>
  <si>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</si>
  <si>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</si>
  <si>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</si>
  <si>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</si>
  <si>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</si>
  <si>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</si>
  <si>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</si>
  <si>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</si>
  <si>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</si>
  <si>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</si>
  <si>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</si>
  <si>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</si>
  <si>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</si>
  <si>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</si>
  <si>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</si>
  <si>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</si>
  <si>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</si>
  <si>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</si>
  <si>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</si>
  <si>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</si>
  <si>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</si>
  <si>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</si>
  <si>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</si>
  <si>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</si>
  <si>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</si>
  <si>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</si>
  <si>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</si>
  <si>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</si>
  <si>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</si>
  <si>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</si>
  <si>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</si>
  <si>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</si>
  <si>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</si>
  <si>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</si>
  <si>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</si>
  <si>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</si>
  <si>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</si>
  <si>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</si>
  <si>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</si>
  <si>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</si>
  <si>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</si>
  <si>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</si>
  <si>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</si>
  <si>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</si>
  <si>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</si>
  <si>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</si>
  <si>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</si>
  <si>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</si>
  <si>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</si>
  <si>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</si>
  <si>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</si>
  <si>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</si>
  <si>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</si>
  <si>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</si>
  <si>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</si>
  <si>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</si>
  <si>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</si>
  <si>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</si>
  <si>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</si>
  <si>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</si>
  <si>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</si>
  <si>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</si>
  <si>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</si>
  <si>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</si>
  <si>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</si>
  <si>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</si>
  <si>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</si>
  <si>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</si>
  <si>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</si>
  <si>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</si>
  <si>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</si>
  <si>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</si>
  <si>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</si>
  <si>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</si>
  <si>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</si>
  <si>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</si>
  <si>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</si>
  <si>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</si>
  <si>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</si>
  <si>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</si>
  <si>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</si>
  <si>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</si>
  <si>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</si>
  <si>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</si>
  <si>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</si>
  <si>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</si>
  <si>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</si>
  <si>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</si>
  <si>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</si>
  <si>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</si>
  <si>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</si>
  <si>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</si>
  <si>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</si>
  <si>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</si>
  <si>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</si>
  <si>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</si>
  <si>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</si>
  <si>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</si>
  <si>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</si>
  <si>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</si>
  <si>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</si>
  <si>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</si>
  <si>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</si>
  <si>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</si>
  <si>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</si>
  <si>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</si>
  <si>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</si>
  <si>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</si>
  <si>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</si>
  <si>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</si>
  <si>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</si>
  <si>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</si>
  <si>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</si>
  <si>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</si>
  <si>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</si>
  <si>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</si>
  <si>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</si>
  <si>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</si>
  <si>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</si>
  <si>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</si>
  <si>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</si>
  <si>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</si>
  <si>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</si>
  <si>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</si>
  <si>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</si>
  <si>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</si>
  <si>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</si>
  <si>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</si>
  <si>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</si>
  <si>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</si>
  <si>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</si>
  <si>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</si>
  <si>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</si>
  <si>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</si>
  <si>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</si>
  <si>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</si>
  <si>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</si>
  <si>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</si>
  <si>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</si>
  <si>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</si>
  <si>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</si>
  <si>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</si>
  <si>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</si>
  <si>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</si>
  <si>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</si>
  <si>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</si>
  <si>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</si>
  <si>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</si>
  <si>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</si>
  <si>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</si>
  <si>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</si>
  <si>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</si>
  <si>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</si>
  <si>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</si>
  <si>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</si>
  <si>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</si>
  <si>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</si>
  <si>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</si>
  <si>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</si>
  <si>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</si>
  <si>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</si>
  <si>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</si>
  <si>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</si>
  <si>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</si>
  <si>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</si>
  <si>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</si>
  <si>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</si>
  <si>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</si>
  <si>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</si>
  <si>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</si>
  <si>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</si>
  <si>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</si>
  <si>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</si>
  <si>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</si>
  <si>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</si>
  <si>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</si>
  <si>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</si>
  <si>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</si>
  <si>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</si>
  <si>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</si>
  <si>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</si>
  <si>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</si>
  <si>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</si>
  <si>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</si>
  <si>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</si>
  <si>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</si>
  <si>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</si>
  <si>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</si>
  <si>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</si>
  <si>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</si>
  <si>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</si>
  <si>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</si>
  <si>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</si>
  <si>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</si>
  <si>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</si>
  <si>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</si>
  <si>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</si>
  <si>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</si>
  <si>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</si>
  <si>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</si>
  <si>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</si>
  <si>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</si>
  <si>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</si>
  <si>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</si>
  <si>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</si>
  <si>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</si>
  <si>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</si>
  <si>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</si>
  <si>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</si>
  <si>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</si>
  <si>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</si>
  <si>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</si>
  <si>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</si>
  <si>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</si>
  <si>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</si>
  <si>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</si>
  <si>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</si>
  <si>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</si>
  <si>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</si>
  <si>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</si>
  <si>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</si>
  <si>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</si>
  <si>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</si>
  <si>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</si>
  <si>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</si>
  <si>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</si>
  <si>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</si>
  <si>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</si>
  <si>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</si>
  <si>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</si>
  <si>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</si>
  <si>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</si>
  <si>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</si>
  <si>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</si>
  <si>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</si>
  <si>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</si>
  <si>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</si>
  <si>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</si>
  <si>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</si>
  <si>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</si>
  <si>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</si>
  <si>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</si>
  <si>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</si>
  <si>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</si>
  <si>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</si>
  <si>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</si>
  <si>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</si>
  <si>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</si>
  <si>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</si>
  <si>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</si>
  <si>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</si>
  <si>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</si>
  <si>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</si>
  <si>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</si>
  <si>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</si>
  <si>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</si>
  <si>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</si>
  <si>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</si>
  <si>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</si>
  <si>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</si>
  <si>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</si>
  <si>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</si>
  <si>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</si>
  <si>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</si>
  <si>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</si>
  <si>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</si>
  <si>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</si>
  <si>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</si>
  <si>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</si>
  <si>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</si>
  <si>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</si>
  <si>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</si>
  <si>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</si>
  <si>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</si>
  <si>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</si>
  <si>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</si>
  <si>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</si>
  <si>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</si>
  <si>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</si>
  <si>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</si>
  <si>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</si>
  <si>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</si>
  <si>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</si>
  <si>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</si>
  <si>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</si>
  <si>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</si>
  <si>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</si>
  <si>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</si>
  <si>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</si>
  <si>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</si>
  <si>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</si>
  <si>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</si>
  <si>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</si>
  <si>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</si>
  <si>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</si>
  <si>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</si>
  <si>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</si>
  <si>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</si>
  <si>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</si>
  <si>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</si>
  <si>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</si>
  <si>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</si>
  <si>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</si>
  <si>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</si>
  <si>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</si>
  <si>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</si>
  <si>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</si>
  <si>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</si>
  <si>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</si>
  <si>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</si>
  <si>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</si>
  <si>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</si>
  <si>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</si>
  <si>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</si>
  <si>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</si>
  <si>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</si>
  <si>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</si>
  <si>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</si>
  <si>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</si>
  <si>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</si>
  <si>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</si>
  <si>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</si>
  <si>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</si>
  <si>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</si>
  <si>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</si>
  <si>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</si>
  <si>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</si>
  <si>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</si>
  <si>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</si>
  <si>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</si>
  <si>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</si>
  <si>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</si>
  <si>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</si>
  <si>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</si>
  <si>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</si>
  <si>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</si>
  <si>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</si>
  <si>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</si>
  <si>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</si>
  <si>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</si>
  <si>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</si>
  <si>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</si>
  <si>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</si>
  <si>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</si>
  <si>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</si>
  <si>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</si>
  <si>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</si>
  <si>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</si>
  <si>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</si>
  <si>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</si>
  <si>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</si>
  <si>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</si>
  <si>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</si>
  <si>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</si>
  <si>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</si>
  <si>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</si>
  <si>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</si>
  <si>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</si>
  <si>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</si>
  <si>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</si>
  <si>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</si>
  <si>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</si>
  <si>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</si>
  <si>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</si>
  <si>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</si>
  <si>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</si>
  <si>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</si>
  <si>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</si>
  <si>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</si>
  <si>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</si>
  <si>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</si>
  <si>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</si>
  <si>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</si>
  <si>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</si>
  <si>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</si>
  <si>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</si>
  <si>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</si>
  <si>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</si>
  <si>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</si>
  <si>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</si>
  <si>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</si>
  <si>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</si>
  <si>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</si>
  <si>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</si>
  <si>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</si>
  <si>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</si>
  <si>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</si>
  <si>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</si>
  <si>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</si>
  <si>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</si>
  <si>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</si>
  <si>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</si>
  <si>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</si>
  <si>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</si>
  <si>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</si>
  <si>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</si>
  <si>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</si>
  <si>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</si>
  <si>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</si>
  <si>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</si>
  <si>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</si>
  <si>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</si>
  <si>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</si>
  <si>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</si>
  <si>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</si>
  <si>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</si>
  <si>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</si>
  <si>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</si>
  <si>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</si>
  <si>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</si>
  <si>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</si>
  <si>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</si>
  <si>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</si>
  <si>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</si>
  <si>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</si>
  <si>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</si>
  <si>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</si>
  <si>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</si>
  <si>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</si>
  <si>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</si>
  <si>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</si>
  <si>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</si>
  <si>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</si>
  <si>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</si>
  <si>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</si>
  <si>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</si>
  <si>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</si>
  <si>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</si>
  <si>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</si>
  <si>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</si>
  <si>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</si>
  <si>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</si>
  <si>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</si>
  <si>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</si>
  <si>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</si>
  <si>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</si>
  <si>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</si>
  <si>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</si>
  <si>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</si>
  <si>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</si>
  <si>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</si>
  <si>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</si>
  <si>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</si>
  <si>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</si>
  <si>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</si>
  <si>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</si>
  <si>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</si>
  <si>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</si>
  <si>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</si>
  <si>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</si>
  <si>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</si>
  <si>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</si>
  <si>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</si>
  <si>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</si>
  <si>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</si>
  <si>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</si>
  <si>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</si>
  <si>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</si>
  <si>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</si>
  <si>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</si>
  <si>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</si>
  <si>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</si>
  <si>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</si>
  <si>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</si>
  <si>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</si>
  <si>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</si>
  <si>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</si>
  <si>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</si>
  <si>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</si>
  <si>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</si>
  <si>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</si>
  <si>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</si>
  <si>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</si>
  <si>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</si>
  <si>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</si>
  <si>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</si>
  <si>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</si>
  <si>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</si>
  <si>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</si>
  <si>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</si>
  <si>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</si>
  <si>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</si>
  <si>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</si>
  <si>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</si>
  <si>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</si>
  <si>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</si>
  <si>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</si>
  <si>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</si>
  <si>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</si>
  <si>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</si>
  <si>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</si>
  <si>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</si>
  <si>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</si>
  <si>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</si>
  <si>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</si>
  <si>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</si>
  <si>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</si>
  <si>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</si>
  <si>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</si>
  <si>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</si>
  <si>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</si>
  <si>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</si>
  <si>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</si>
  <si>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</si>
  <si>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</si>
  <si>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</si>
  <si>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</si>
  <si>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</si>
  <si>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</si>
  <si>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</si>
  <si>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</si>
  <si>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</si>
  <si>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</si>
  <si>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</si>
  <si>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</si>
  <si>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</si>
  <si>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</si>
  <si>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</si>
  <si>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</si>
  <si>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</si>
  <si>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</si>
  <si>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</si>
  <si>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</si>
  <si>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</si>
  <si>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</si>
  <si>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</si>
  <si>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</si>
  <si>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</si>
  <si>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</si>
  <si>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</si>
  <si>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</si>
  <si>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</si>
  <si>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</si>
  <si>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</si>
  <si>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</si>
  <si>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</si>
  <si>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</si>
  <si>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</si>
  <si>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</si>
  <si>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</si>
  <si>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</si>
  <si>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</si>
  <si>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</si>
  <si>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</si>
  <si>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</si>
  <si>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</si>
  <si>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</si>
  <si>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</si>
  <si>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</si>
  <si>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</si>
  <si>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</si>
  <si>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</si>
  <si>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</si>
  <si>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</si>
  <si>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</si>
  <si>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</si>
  <si>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</si>
  <si>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</si>
  <si>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</si>
  <si>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</si>
  <si>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</si>
  <si>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</si>
  <si>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</si>
  <si>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</si>
  <si>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</si>
  <si>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</si>
  <si>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</si>
  <si>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</si>
  <si>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</si>
  <si>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</si>
  <si>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</si>
  <si>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</si>
  <si>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</si>
  <si>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</si>
  <si>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</si>
  <si>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</si>
  <si>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</si>
  <si>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</si>
  <si>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</si>
  <si>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</si>
  <si>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</si>
  <si>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</si>
  <si>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</si>
  <si>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</si>
  <si>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</si>
  <si>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</si>
  <si>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</si>
  <si>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</si>
  <si>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</si>
  <si>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</si>
  <si>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</si>
  <si>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</si>
  <si>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</si>
  <si>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</si>
  <si>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</si>
  <si>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</si>
  <si>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</si>
  <si>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</si>
  <si>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</si>
  <si>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</si>
  <si>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</si>
  <si>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</si>
  <si>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</si>
  <si>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</si>
  <si>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</si>
  <si>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</si>
  <si>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</si>
  <si>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</si>
  <si>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</si>
  <si>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</si>
  <si>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</si>
  <si>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</si>
  <si>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</si>
  <si>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</si>
  <si>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</si>
  <si>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</si>
  <si>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</si>
  <si>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</si>
  <si>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</si>
  <si>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</si>
  <si>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</si>
  <si>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</si>
  <si>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</si>
  <si>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</si>
  <si>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</si>
  <si>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</si>
  <si>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</si>
  <si>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</si>
  <si>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</si>
  <si>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</si>
  <si>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</si>
  <si>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</si>
  <si>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</si>
  <si>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</si>
  <si>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</si>
  <si>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</si>
  <si>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</si>
  <si>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</si>
  <si>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</si>
  <si>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</si>
  <si>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</si>
  <si>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</si>
  <si>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</si>
  <si>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</si>
  <si>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</si>
  <si>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</si>
  <si>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</si>
  <si>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</si>
  <si>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</si>
  <si>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</si>
  <si>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</si>
  <si>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</si>
  <si>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</si>
  <si>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</si>
  <si>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</si>
  <si>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</si>
  <si>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</si>
  <si>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</si>
  <si>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</si>
  <si>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</si>
  <si>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</si>
  <si>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</si>
  <si>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</si>
  <si>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</si>
  <si>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</si>
  <si>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</si>
  <si>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</si>
  <si>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</si>
  <si>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</si>
  <si>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</si>
  <si>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</si>
  <si>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</si>
  <si>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</si>
  <si>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</si>
  <si>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</si>
  <si>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</si>
  <si>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</si>
  <si>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</si>
  <si>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</si>
  <si>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</si>
  <si>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</si>
  <si>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</si>
  <si>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</si>
  <si>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</si>
  <si>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</si>
  <si>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</si>
  <si>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</si>
  <si>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</si>
  <si>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</si>
  <si>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</si>
  <si>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</si>
  <si>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</si>
  <si>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</si>
  <si>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</si>
  <si>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</si>
  <si>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</si>
  <si>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</si>
  <si>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</si>
  <si>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</si>
  <si>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</si>
  <si>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</si>
  <si>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</si>
  <si>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</si>
  <si>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</si>
  <si>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</si>
  <si>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</si>
  <si>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</si>
  <si>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</si>
  <si>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</si>
  <si>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</si>
  <si>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</si>
  <si>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</si>
  <si>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</si>
  <si>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</si>
  <si>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</si>
  <si>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</si>
  <si>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</si>
  <si>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</si>
  <si>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</si>
  <si>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</si>
  <si>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</si>
  <si>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</si>
  <si>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</si>
  <si>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</si>
  <si>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</si>
  <si>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</si>
  <si>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</si>
  <si>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</si>
  <si>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</si>
  <si>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</si>
  <si>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</si>
  <si>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</si>
  <si>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</si>
  <si>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</si>
  <si>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</si>
  <si>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</si>
  <si>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</si>
  <si>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</si>
  <si>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</si>
  <si>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</si>
  <si>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</si>
  <si>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</si>
  <si>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</si>
  <si>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</si>
  <si>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</si>
  <si>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</si>
  <si>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</si>
  <si>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</si>
  <si>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</si>
  <si>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</si>
  <si>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</si>
  <si>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</si>
  <si>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</si>
  <si>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</si>
  <si>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</si>
  <si>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</si>
  <si>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</si>
  <si>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</si>
  <si>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</si>
  <si>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</si>
  <si>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</si>
  <si>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</si>
  <si>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</si>
  <si>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</si>
  <si>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</si>
  <si>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</si>
  <si>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</si>
  <si>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</si>
  <si>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</si>
  <si>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</si>
  <si>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</si>
  <si>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</si>
  <si>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</si>
  <si>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</si>
  <si>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</si>
  <si>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</si>
  <si>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</si>
  <si>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</si>
  <si>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</si>
  <si>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</si>
  <si>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</si>
  <si>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</si>
  <si>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</si>
  <si>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</si>
  <si>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</si>
  <si>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</si>
  <si>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</si>
  <si>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</si>
  <si>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</si>
  <si>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</si>
  <si>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</si>
  <si>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</si>
  <si>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</si>
  <si>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</si>
  <si>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</si>
  <si>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</si>
  <si>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</si>
  <si>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</si>
  <si>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</si>
  <si>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</si>
  <si>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</si>
  <si>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</si>
  <si>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</si>
  <si>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</si>
  <si>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</si>
  <si>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</si>
  <si>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</si>
  <si>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</si>
  <si>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</si>
  <si>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</si>
  <si>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</si>
  <si>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</si>
  <si>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</si>
  <si>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</si>
  <si>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</si>
  <si>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</si>
  <si>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</si>
  <si>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</si>
  <si>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</si>
  <si>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</si>
  <si>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</si>
  <si>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</si>
  <si>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</si>
  <si>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</si>
  <si>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</si>
  <si>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</si>
  <si>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</si>
  <si>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</si>
  <si>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</si>
  <si>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</si>
  <si>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</si>
  <si>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</si>
  <si>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</si>
  <si>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</si>
  <si>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</si>
  <si>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</si>
  <si>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</si>
  <si>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</si>
  <si>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</si>
  <si>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</si>
  <si>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</si>
  <si>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</si>
  <si>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</si>
  <si>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</si>
  <si>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</si>
  <si>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</si>
  <si>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</si>
  <si>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</si>
  <si>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</si>
  <si>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</si>
  <si>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</si>
  <si>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</si>
  <si>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</si>
  <si>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</si>
  <si>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</si>
  <si>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</si>
  <si>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</si>
  <si>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</si>
  <si>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</si>
  <si>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</si>
  <si>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</si>
  <si>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</si>
  <si>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</si>
  <si>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</si>
  <si>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</si>
  <si>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</si>
  <si>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</si>
  <si>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</si>
  <si>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</si>
  <si>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</si>
  <si>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</si>
  <si>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</si>
  <si>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</si>
  <si>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</si>
  <si>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</si>
  <si>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</si>
  <si>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</si>
  <si>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</si>
  <si>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</si>
  <si>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</si>
  <si>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</si>
  <si>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</si>
  <si>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</si>
  <si>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</si>
  <si>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</si>
  <si>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</si>
  <si>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</si>
  <si>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</si>
  <si>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</si>
  <si>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</si>
  <si>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</si>
  <si>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</si>
  <si>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</si>
  <si>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</si>
  <si>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</si>
  <si>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</si>
  <si>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</si>
  <si>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</si>
  <si>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</si>
  <si>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</si>
  <si>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</si>
  <si>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</si>
  <si>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</si>
  <si>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</si>
  <si>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</si>
  <si>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</si>
  <si>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</si>
  <si>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</si>
  <si>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</si>
  <si>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</si>
  <si>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</si>
  <si>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</si>
  <si>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</si>
  <si>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</si>
  <si>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</si>
  <si>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</si>
  <si>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</si>
  <si>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</si>
  <si>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</si>
  <si>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</si>
  <si>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</si>
  <si>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</si>
  <si>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</si>
  <si>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</si>
  <si>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</si>
  <si>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</si>
  <si>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</si>
  <si>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</si>
  <si>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</si>
  <si>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</si>
  <si>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</si>
  <si>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</si>
  <si>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</si>
  <si>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</si>
  <si>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</si>
  <si>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</si>
  <si>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</si>
  <si>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</si>
  <si>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</si>
  <si>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</si>
  <si>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</si>
  <si>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</si>
  <si>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</si>
  <si>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</si>
  <si>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</si>
  <si>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</si>
  <si>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</si>
  <si>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</si>
  <si>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</si>
  <si>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</si>
  <si>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</si>
  <si>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</si>
  <si>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</si>
  <si>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</si>
  <si>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</si>
  <si>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</si>
  <si>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</si>
  <si>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</si>
  <si>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</si>
  <si>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</si>
  <si>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</si>
  <si>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</si>
  <si>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</si>
  <si>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</si>
  <si>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</si>
  <si>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</si>
  <si>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</si>
  <si>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</si>
  <si>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</si>
  <si>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</si>
  <si>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</si>
  <si>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</si>
  <si>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</si>
  <si>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</si>
  <si>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</si>
  <si>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</si>
  <si>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</si>
  <si>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</si>
  <si>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</si>
  <si>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</si>
  <si>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</si>
  <si>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</si>
  <si>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</si>
  <si>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</si>
  <si>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</si>
  <si>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</si>
  <si>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</si>
  <si>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</si>
  <si>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</si>
  <si>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</si>
  <si>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</si>
  <si>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</si>
  <si>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</si>
  <si>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</si>
  <si>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</si>
  <si>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</si>
  <si>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</si>
  <si>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</si>
  <si>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</si>
  <si>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</si>
  <si>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</si>
  <si>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</si>
  <si>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</si>
  <si>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</si>
  <si>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</si>
  <si>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</si>
  <si>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</si>
  <si>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</si>
  <si>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</si>
  <si>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</si>
  <si>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</si>
  <si>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</si>
  <si>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</si>
  <si>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</si>
  <si>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</si>
  <si>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</si>
  <si>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</si>
  <si>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</si>
  <si>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</si>
  <si>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</si>
  <si>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</si>
  <si>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</si>
  <si>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</si>
  <si>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</si>
  <si>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</si>
  <si>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</si>
  <si>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</si>
  <si>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</si>
  <si>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</si>
  <si>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</si>
  <si>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</si>
  <si>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</si>
  <si>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</si>
  <si>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</si>
  <si>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</si>
  <si>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</si>
  <si>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</si>
  <si>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</si>
  <si>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</si>
  <si>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</si>
  <si>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</si>
  <si>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</si>
  <si>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</si>
  <si>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</si>
  <si>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</si>
  <si>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</si>
  <si>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</si>
  <si>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</si>
  <si>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</si>
  <si>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</si>
  <si>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</si>
  <si>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</si>
  <si>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</si>
  <si>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</si>
  <si>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</si>
  <si>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</si>
  <si>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</si>
  <si>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</si>
  <si>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</si>
  <si>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</si>
  <si>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</si>
  <si>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</si>
  <si>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</si>
  <si>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</si>
  <si>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</si>
  <si>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</si>
  <si>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</si>
  <si>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</si>
  <si>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</si>
  <si>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</si>
  <si>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</si>
  <si>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</si>
  <si>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</si>
  <si>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</si>
  <si>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</si>
  <si>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</si>
  <si>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</si>
  <si>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</si>
  <si>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</si>
  <si>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</si>
  <si>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</si>
  <si>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</si>
  <si>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</si>
  <si>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</si>
  <si>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</si>
  <si>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</si>
  <si>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</si>
  <si>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</si>
  <si>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</si>
  <si>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</si>
  <si>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</si>
  <si>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</si>
  <si>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</si>
  <si>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</si>
  <si>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</si>
  <si>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</si>
  <si>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</si>
  <si>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</si>
  <si>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</si>
  <si>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</si>
  <si>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</si>
  <si>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</si>
  <si>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</si>
  <si>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</si>
  <si>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</si>
  <si>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</si>
  <si>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</si>
  <si>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</si>
  <si>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</si>
  <si>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</si>
  <si>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</si>
  <si>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</si>
  <si>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</si>
  <si>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</si>
  <si>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</si>
  <si>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</si>
  <si>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</si>
  <si>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</si>
  <si>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</si>
  <si>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</si>
  <si>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</si>
  <si>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</si>
  <si>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</si>
  <si>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</si>
  <si>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</si>
  <si>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</si>
  <si>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</si>
  <si>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</si>
  <si>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</si>
  <si>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</si>
  <si>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</si>
  <si>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</si>
  <si>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</si>
  <si>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</si>
  <si>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</si>
  <si>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</si>
  <si>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</si>
  <si>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</si>
  <si>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</si>
  <si>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</si>
  <si>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</si>
  <si>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</si>
  <si>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</si>
  <si>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</si>
  <si>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</si>
  <si>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</si>
  <si>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</si>
  <si>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</si>
  <si>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</si>
  <si>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</si>
  <si>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</si>
  <si>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</si>
  <si>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</si>
  <si>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</si>
  <si>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</si>
  <si>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</si>
  <si>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</si>
  <si>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</si>
  <si>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</si>
  <si>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</si>
  <si>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</si>
  <si>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</si>
  <si>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</si>
  <si>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</si>
  <si>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</si>
  <si>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</si>
  <si>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</si>
  <si>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</si>
  <si>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</si>
  <si>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</si>
  <si>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</si>
  <si>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</si>
  <si>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</si>
  <si>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</si>
  <si>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</si>
  <si>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</si>
  <si>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</si>
  <si>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</si>
  <si>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</si>
  <si>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</si>
  <si>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</si>
  <si>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</si>
  <si>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</si>
  <si>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</si>
  <si>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</si>
  <si>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</si>
  <si>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</si>
  <si>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</si>
  <si>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</si>
  <si>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</si>
  <si>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</si>
  <si>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</si>
  <si>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</si>
  <si>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</si>
  <si>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</si>
  <si>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</si>
  <si>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</si>
  <si>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</si>
  <si>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</si>
  <si>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</si>
  <si>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</si>
  <si>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</si>
  <si>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</si>
  <si>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</si>
  <si>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</si>
  <si>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</si>
  <si>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</si>
  <si>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</si>
  <si>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</si>
  <si>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</si>
  <si>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</si>
  <si>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</si>
  <si>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</si>
  <si>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</si>
  <si>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</si>
  <si>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</si>
  <si>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</si>
  <si>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</si>
  <si>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</si>
  <si>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</si>
  <si>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</si>
  <si>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</si>
  <si>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</si>
  <si>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</si>
  <si>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</si>
  <si>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</si>
  <si>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</si>
  <si>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</si>
  <si>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</si>
  <si>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</si>
  <si>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</si>
  <si>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</si>
  <si>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</si>
  <si>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</si>
  <si>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</si>
  <si>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</si>
  <si>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</si>
  <si>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</si>
  <si>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</si>
  <si>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</si>
  <si>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</si>
  <si>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</si>
  <si>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</si>
  <si>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</si>
  <si>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</si>
  <si>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</si>
  <si>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</si>
  <si>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</si>
  <si>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</si>
  <si>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</si>
  <si>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</si>
  <si>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</si>
  <si>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</si>
  <si>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</si>
  <si>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</si>
  <si>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</si>
  <si>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</si>
  <si>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</si>
  <si>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</si>
  <si>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</si>
  <si>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</si>
  <si>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</si>
  <si>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</si>
  <si>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</si>
  <si>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</si>
  <si>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</si>
  <si>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</si>
  <si>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</si>
  <si>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</si>
  <si>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</si>
  <si>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</si>
  <si>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</si>
  <si>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</si>
  <si>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</si>
  <si>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</si>
  <si>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</si>
  <si>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</si>
  <si>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</si>
  <si>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</si>
  <si>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</si>
  <si>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</si>
  <si>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</si>
  <si>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</si>
  <si>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</si>
  <si>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</si>
  <si>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</si>
  <si>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</si>
  <si>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</si>
  <si>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</si>
  <si>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</si>
  <si>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</si>
  <si>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</si>
  <si>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</si>
  <si>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</si>
  <si>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</si>
  <si>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</si>
  <si>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</si>
  <si>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</si>
  <si>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</si>
  <si>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</si>
  <si>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</si>
  <si>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</si>
  <si>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</si>
  <si>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</si>
  <si>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</si>
  <si>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</si>
  <si>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</si>
  <si>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</si>
  <si>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</si>
  <si>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</si>
  <si>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</si>
  <si>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</si>
  <si>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</si>
  <si>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</si>
  <si>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</si>
  <si>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</si>
  <si>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</si>
  <si>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</si>
  <si>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</si>
  <si>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</si>
  <si>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</si>
  <si>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</si>
  <si>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</si>
  <si>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</si>
  <si>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</si>
  <si>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</si>
  <si>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</si>
  <si>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</si>
  <si>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</si>
  <si>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</si>
  <si>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</si>
  <si>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</si>
  <si>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</si>
  <si>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</si>
  <si>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</si>
  <si>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</si>
  <si>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</si>
  <si>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</si>
  <si>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</si>
  <si>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</si>
  <si>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</si>
  <si>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</si>
  <si>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</si>
  <si>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</si>
  <si>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</si>
  <si>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</si>
  <si>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</si>
  <si>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</si>
  <si>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</si>
  <si>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</si>
  <si>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</si>
  <si>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</si>
  <si>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</si>
  <si>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</si>
  <si>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</si>
  <si>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</si>
  <si>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</si>
  <si>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</si>
  <si>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</si>
  <si>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</si>
  <si>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</si>
  <si>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</si>
  <si>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</si>
  <si>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</si>
  <si>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</si>
  <si>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</si>
  <si>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</si>
  <si>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</si>
  <si>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</si>
  <si>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</si>
  <si>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</si>
  <si>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</si>
  <si>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</si>
  <si>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</si>
  <si>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</si>
  <si>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</si>
  <si>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</si>
  <si>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</si>
  <si>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</si>
  <si>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</si>
  <si>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</si>
  <si>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</si>
  <si>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</si>
  <si>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</si>
  <si>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</si>
  <si>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</si>
  <si>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</si>
  <si>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</si>
  <si>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</si>
  <si>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</si>
  <si>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</si>
  <si>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</si>
  <si>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</si>
  <si>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</si>
  <si>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</si>
  <si>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</si>
  <si>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</si>
  <si>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</si>
  <si>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</si>
  <si>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</si>
  <si>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</si>
  <si>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</si>
  <si>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</si>
  <si>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</si>
  <si>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</si>
  <si>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</si>
  <si>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</si>
  <si>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</si>
  <si>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</si>
  <si>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</si>
  <si>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</si>
  <si>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</si>
  <si>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</si>
  <si>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</si>
  <si>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</si>
  <si>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</si>
  <si>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</si>
  <si>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</si>
  <si>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</si>
  <si>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</si>
  <si>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</si>
  <si>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</si>
  <si>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</si>
  <si>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</si>
  <si>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</si>
  <si>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</si>
  <si>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</si>
  <si>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</si>
  <si>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</si>
  <si>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</si>
  <si>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</si>
  <si>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</si>
  <si>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</si>
  <si>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</si>
  <si>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</si>
  <si>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</si>
  <si>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</si>
  <si>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</si>
  <si>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</si>
  <si>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</si>
  <si>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</si>
  <si>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</si>
  <si>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</si>
  <si>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</si>
  <si>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</si>
  <si>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</si>
  <si>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</si>
  <si>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</si>
  <si>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</si>
  <si>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</si>
  <si>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</si>
  <si>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</si>
  <si>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</si>
  <si>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</si>
  <si>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</si>
  <si>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</si>
  <si>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</si>
  <si>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</si>
  <si>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</si>
  <si>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</si>
  <si>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</si>
  <si>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</si>
  <si>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</si>
  <si>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</si>
  <si>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</si>
  <si>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</si>
  <si>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</si>
  <si>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</si>
  <si>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</si>
  <si>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</si>
  <si>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</si>
  <si>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</si>
  <si>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</si>
  <si>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</si>
  <si>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</si>
  <si>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</si>
  <si>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</si>
  <si>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</si>
  <si>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</si>
  <si>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</si>
  <si>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</si>
  <si>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</si>
  <si>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</si>
  <si>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</si>
  <si>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</si>
  <si>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</si>
  <si>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</si>
  <si>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</si>
  <si>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</si>
  <si>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</si>
  <si>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</si>
  <si>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</si>
  <si>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</si>
  <si>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</si>
  <si>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</si>
  <si>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</si>
  <si>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</si>
  <si>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</si>
  <si>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</si>
  <si>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</si>
  <si>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</si>
  <si>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</si>
  <si>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</si>
  <si>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</si>
  <si>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</si>
  <si>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</si>
  <si>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</si>
  <si>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</si>
  <si>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</si>
  <si>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</si>
  <si>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</si>
  <si>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</si>
  <si>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</si>
  <si>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</si>
  <si>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</si>
  <si>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</si>
  <si>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</si>
  <si>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</si>
  <si>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</si>
  <si>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</si>
  <si>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</si>
  <si>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</si>
  <si>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</si>
  <si>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</si>
  <si>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</si>
  <si>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</si>
  <si>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</si>
  <si>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</si>
  <si>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</si>
  <si>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</si>
  <si>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</si>
  <si>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</si>
  <si>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</si>
  <si>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</si>
  <si>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</si>
  <si>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</si>
  <si>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</si>
  <si>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</si>
  <si>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</si>
  <si>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</si>
  <si>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</si>
  <si>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</si>
  <si>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</si>
  <si>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</si>
  <si>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</si>
  <si>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</si>
  <si>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</si>
  <si>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</si>
  <si>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</si>
  <si>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</si>
  <si>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</si>
  <si>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</si>
  <si>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</si>
  <si>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</si>
  <si>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</si>
  <si>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</si>
  <si>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</si>
  <si>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</si>
  <si>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</si>
  <si>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</si>
  <si>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</si>
  <si>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</si>
  <si>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</si>
  <si>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</si>
  <si>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</si>
  <si>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</si>
  <si>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</si>
  <si>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</si>
  <si>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</si>
  <si>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</si>
  <si>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</si>
  <si>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</si>
  <si>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</si>
  <si>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</si>
  <si>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</si>
  <si>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</si>
  <si>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</si>
  <si>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</si>
  <si>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</si>
  <si>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</si>
  <si>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</si>
  <si>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</si>
  <si>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</si>
  <si>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</si>
  <si>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</si>
  <si>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</si>
  <si>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</si>
  <si>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</si>
  <si>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</si>
  <si>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</si>
  <si>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</si>
  <si>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</si>
  <si>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</si>
  <si>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</si>
  <si>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</si>
  <si>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</si>
  <si>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</si>
  <si>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</si>
  <si>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</si>
  <si>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</si>
  <si>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</si>
  <si>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</si>
  <si>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</si>
  <si>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</si>
  <si>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</si>
  <si>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</si>
  <si>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</si>
  <si>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</si>
  <si>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</si>
  <si>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</si>
  <si>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</si>
  <si>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</si>
  <si>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</si>
  <si>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</si>
  <si>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</si>
  <si>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</si>
  <si>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</si>
  <si>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</si>
  <si>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</si>
  <si>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</si>
  <si>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</si>
  <si>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</si>
  <si>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</si>
  <si>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</si>
  <si>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</si>
  <si>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</si>
  <si>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</si>
  <si>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</si>
  <si>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</si>
  <si>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</si>
  <si>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</si>
  <si>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</si>
  <si>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</si>
  <si>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</si>
  <si>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</si>
  <si>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</si>
  <si>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</si>
  <si>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</si>
  <si>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</si>
  <si>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</si>
  <si>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</si>
  <si>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</si>
  <si>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</si>
  <si>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</si>
  <si>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</si>
  <si>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</si>
  <si>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</si>
  <si>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</si>
  <si>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</si>
  <si>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</si>
  <si>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</si>
  <si>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</si>
  <si>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</si>
  <si>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</si>
  <si>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</si>
  <si>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</si>
  <si>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</si>
  <si>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</si>
  <si>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</si>
  <si>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</si>
  <si>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</si>
  <si>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</si>
  <si>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</si>
  <si>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</si>
  <si>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</si>
  <si>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</si>
  <si>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</si>
  <si>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</si>
  <si>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</si>
  <si>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</si>
  <si>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</si>
  <si>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</si>
  <si>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</si>
  <si>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</si>
  <si>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</si>
  <si>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</si>
  <si>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</si>
  <si>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</si>
  <si>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</si>
  <si>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</si>
  <si>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</si>
  <si>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</si>
  <si>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</si>
  <si>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</si>
  <si>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</si>
  <si>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</si>
  <si>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</si>
  <si>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</si>
  <si>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</si>
  <si>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</si>
  <si>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</si>
  <si>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</si>
  <si>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</si>
  <si>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</si>
  <si>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</si>
  <si>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</si>
  <si>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</si>
  <si>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</si>
  <si>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</si>
  <si>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</si>
  <si>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</si>
  <si>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</si>
  <si>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</si>
  <si>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</si>
  <si>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</si>
  <si>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</si>
  <si>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</si>
  <si>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</si>
  <si>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</si>
  <si>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</si>
  <si>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</si>
  <si>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</si>
  <si>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</si>
  <si>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</si>
  <si>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</si>
  <si>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</si>
  <si>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</si>
  <si>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</si>
  <si>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</si>
  <si>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</si>
  <si>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</si>
  <si>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</si>
  <si>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</si>
  <si>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</si>
  <si>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</si>
  <si>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</si>
  <si>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</si>
  <si>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</si>
  <si>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</si>
  <si>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</si>
  <si>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</si>
  <si>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</si>
  <si>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</si>
  <si>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</si>
  <si>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</si>
  <si>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</si>
  <si>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</si>
  <si>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</si>
  <si>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</si>
  <si>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</si>
  <si>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</si>
  <si>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</si>
  <si>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</si>
  <si>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</si>
  <si>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</si>
  <si>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</si>
  <si>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</si>
  <si>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</si>
  <si>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</si>
  <si>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</si>
  <si>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</si>
  <si>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</si>
  <si>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</si>
  <si>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</si>
  <si>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</si>
  <si>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</si>
  <si>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</si>
  <si>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</si>
  <si>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</si>
  <si>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</si>
  <si>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</si>
  <si>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</si>
  <si>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</si>
  <si>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</si>
  <si>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</si>
  <si>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</si>
  <si>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</si>
  <si>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</si>
  <si>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</si>
  <si>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</si>
  <si>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</si>
  <si>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</si>
  <si>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</si>
  <si>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</si>
  <si>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</si>
  <si>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</si>
  <si>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</si>
  <si>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</si>
  <si>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</si>
  <si>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</si>
  <si>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</si>
  <si>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</si>
  <si>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</si>
  <si>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</si>
  <si>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</si>
  <si>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</si>
  <si>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</si>
  <si>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</si>
  <si>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</si>
  <si>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</si>
  <si>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</si>
  <si>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</si>
  <si>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</si>
  <si>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</si>
  <si>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</si>
  <si>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</si>
  <si>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</si>
  <si>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</si>
  <si>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</si>
  <si>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</si>
  <si>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</si>
  <si>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</si>
  <si>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</si>
  <si>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</si>
  <si>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</si>
  <si>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</si>
  <si>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</si>
  <si>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</si>
  <si>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</si>
  <si>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</si>
  <si>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</si>
  <si>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</si>
  <si>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</si>
  <si>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</si>
  <si>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</si>
  <si>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</si>
  <si>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</si>
  <si>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</si>
  <si>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</si>
  <si>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</si>
  <si>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</si>
  <si>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</si>
  <si>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</si>
  <si>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</si>
  <si>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</si>
  <si>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</si>
  <si>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</si>
  <si>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</si>
  <si>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</si>
  <si>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</si>
  <si>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</si>
  <si>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</si>
  <si>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</si>
  <si>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</si>
  <si>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</si>
  <si>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</si>
  <si>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</si>
  <si>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</si>
  <si>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</si>
  <si>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</si>
  <si>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</si>
  <si>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</si>
  <si>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</si>
  <si>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</si>
  <si>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</si>
  <si>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</si>
  <si>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</si>
  <si>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</si>
  <si>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</si>
  <si>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</si>
  <si>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</si>
  <si>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</si>
  <si>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</si>
  <si>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</si>
  <si>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</si>
  <si>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</si>
  <si>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</si>
  <si>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</si>
  <si>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</si>
  <si>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</si>
  <si>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</si>
  <si>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</si>
  <si>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</si>
  <si>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</si>
  <si>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</si>
  <si>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</si>
  <si>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</si>
  <si>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</si>
  <si>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</si>
  <si>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</si>
  <si>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</si>
  <si>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</si>
  <si>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</si>
  <si>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</si>
  <si>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</si>
  <si>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</si>
  <si>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</si>
  <si>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</si>
  <si>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</si>
  <si>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</si>
  <si>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</si>
  <si>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</si>
  <si>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</si>
  <si>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</si>
  <si>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</si>
  <si>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</si>
  <si>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</si>
  <si>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</si>
  <si>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</si>
  <si>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</si>
  <si>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</si>
  <si>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</si>
  <si>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</si>
  <si>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</si>
  <si>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</si>
  <si>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</si>
  <si>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</si>
  <si>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</si>
  <si>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</si>
  <si>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</si>
  <si>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</si>
  <si>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</si>
  <si>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</si>
  <si>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</si>
  <si>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</si>
  <si>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</si>
  <si>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</si>
  <si>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</si>
  <si>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</si>
  <si>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</si>
  <si>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</si>
  <si>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</si>
  <si>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</si>
  <si>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</si>
  <si>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</si>
  <si>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</si>
  <si>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</si>
  <si>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</si>
  <si>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</si>
  <si>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</si>
  <si>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</si>
  <si>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</si>
  <si>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</si>
  <si>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</si>
  <si>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</si>
  <si>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</si>
  <si>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</si>
  <si>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</si>
  <si>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</si>
  <si>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</si>
  <si>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</si>
  <si>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</si>
  <si>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</si>
  <si>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</si>
  <si>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</si>
  <si>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</si>
  <si>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</si>
  <si>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</si>
  <si>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</si>
  <si>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</si>
  <si>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</si>
  <si>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</si>
  <si>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</si>
  <si>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</si>
  <si>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</si>
  <si>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</si>
  <si>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</si>
  <si>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</si>
  <si>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</si>
  <si>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</si>
  <si>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</si>
  <si>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</si>
  <si>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</si>
  <si>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</si>
  <si>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</si>
  <si>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</si>
  <si>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</si>
  <si>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</si>
  <si>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</si>
  <si>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</si>
  <si>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</si>
  <si>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</si>
  <si>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</si>
  <si>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</si>
  <si>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</si>
  <si>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</si>
  <si>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</si>
  <si>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</si>
  <si>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</si>
  <si>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</si>
  <si>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</si>
  <si>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</si>
  <si>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</si>
  <si>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</si>
  <si>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</si>
  <si>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</si>
  <si>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</si>
  <si>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</si>
  <si>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</si>
  <si>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</si>
  <si>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</si>
  <si>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</si>
  <si>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</si>
  <si>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</si>
  <si>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</si>
  <si>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</si>
  <si>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</si>
  <si>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</si>
  <si>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</si>
  <si>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</si>
  <si>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</si>
  <si>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</si>
  <si>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</si>
  <si>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</si>
  <si>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</si>
  <si>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</si>
  <si>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</si>
  <si>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</si>
  <si>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</si>
  <si>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</si>
  <si>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</si>
  <si>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</si>
  <si>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</si>
  <si>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</si>
  <si>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</si>
  <si>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</si>
  <si>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</si>
  <si>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</si>
  <si>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</si>
  <si>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</si>
  <si>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</si>
  <si>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</si>
  <si>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</si>
  <si>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</si>
  <si>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</si>
  <si>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</si>
  <si>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</si>
  <si>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</si>
  <si>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</si>
  <si>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</si>
  <si>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</si>
  <si>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</si>
  <si>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</si>
  <si>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</si>
  <si>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</si>
  <si>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</si>
  <si>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</si>
  <si>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</si>
  <si>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</si>
  <si>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</si>
  <si>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</si>
  <si>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</si>
  <si>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</si>
  <si>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</si>
  <si>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</si>
  <si>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</si>
  <si>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</si>
  <si>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</si>
  <si>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</si>
  <si>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</si>
  <si>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</si>
  <si>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</si>
  <si>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</si>
  <si>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</si>
  <si>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</si>
  <si>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</si>
  <si>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</si>
  <si>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</si>
  <si>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</si>
  <si>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</si>
  <si>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</si>
  <si>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</si>
  <si>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</si>
  <si>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</si>
  <si>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</si>
  <si>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</si>
  <si>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</si>
  <si>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</si>
  <si>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</si>
  <si>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</si>
  <si>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</si>
  <si>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</si>
  <si>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</si>
  <si>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</si>
  <si>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</si>
  <si>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</si>
  <si>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</si>
  <si>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</si>
  <si>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</si>
  <si>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</si>
  <si>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</si>
  <si>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</si>
  <si>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</si>
  <si>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</si>
  <si>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</si>
  <si>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</si>
  <si>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</si>
  <si>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</si>
  <si>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</si>
  <si>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</si>
  <si>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</si>
  <si>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</si>
  <si>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</si>
  <si>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</si>
  <si>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</si>
  <si>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</si>
  <si>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</si>
  <si>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</si>
  <si>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</si>
  <si>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</si>
  <si>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</si>
  <si>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</si>
  <si>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</si>
  <si>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</si>
  <si>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</si>
  <si>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</si>
  <si>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</si>
  <si>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</si>
  <si>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</si>
  <si>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</si>
  <si>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</si>
  <si>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</si>
  <si>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</si>
  <si>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</si>
  <si>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</si>
  <si>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</si>
  <si>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</si>
  <si>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</si>
  <si>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</si>
  <si>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</si>
  <si>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</si>
  <si>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</si>
  <si>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</si>
  <si>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</si>
  <si>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</si>
  <si>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</si>
  <si>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</si>
  <si>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</si>
  <si>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</si>
  <si>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</si>
  <si>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</si>
  <si>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</si>
  <si>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</si>
  <si>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</si>
  <si>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</si>
  <si>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</si>
  <si>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</si>
  <si>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</si>
  <si>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</si>
  <si>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</si>
  <si>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</si>
  <si>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</si>
  <si>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</si>
  <si>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</si>
  <si>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</si>
  <si>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</si>
  <si>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</si>
  <si>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</si>
  <si>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</si>
  <si>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</si>
  <si>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</si>
  <si>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</si>
  <si>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</si>
  <si>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</si>
  <si>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</si>
  <si>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</si>
  <si>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</si>
  <si>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</si>
  <si>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</si>
  <si>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</si>
  <si>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</si>
  <si>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</si>
  <si>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</si>
  <si>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</si>
  <si>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</si>
  <si>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</si>
  <si>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</si>
  <si>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</si>
  <si>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</si>
  <si>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</si>
  <si>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</si>
  <si>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</si>
  <si>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</si>
  <si>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</si>
  <si>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</si>
  <si>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</si>
  <si>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</si>
  <si>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</si>
  <si>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</si>
  <si>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</si>
  <si>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</si>
  <si>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</si>
  <si>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</si>
  <si>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</si>
  <si>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</si>
  <si>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</si>
  <si>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</si>
  <si>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</si>
  <si>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</si>
  <si>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</si>
  <si>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</si>
  <si>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</si>
  <si>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</si>
  <si>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</si>
  <si>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</si>
  <si>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</si>
  <si>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</si>
  <si>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</si>
  <si>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</si>
  <si>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</si>
  <si>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</si>
  <si>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</si>
  <si>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</si>
  <si>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</si>
  <si>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</si>
  <si>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</si>
  <si>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</si>
  <si>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</si>
  <si>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</si>
  <si>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</si>
  <si>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</si>
  <si>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</si>
  <si>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</si>
  <si>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</si>
  <si>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</si>
  <si>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</si>
  <si>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</si>
  <si>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</si>
  <si>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</si>
  <si>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</si>
  <si>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</si>
  <si>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</si>
  <si>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</si>
  <si>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</si>
  <si>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</si>
  <si>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</si>
  <si>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</si>
  <si>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</si>
  <si>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</si>
  <si>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</si>
  <si>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</si>
  <si>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</si>
  <si>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</si>
  <si>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</si>
  <si>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</si>
  <si>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</si>
  <si>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</si>
  <si>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</si>
  <si>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</si>
  <si>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</si>
  <si>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</si>
  <si>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</si>
  <si>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</si>
  <si>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</si>
  <si>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</si>
  <si>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</si>
  <si>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</si>
  <si>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</si>
  <si>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</si>
  <si>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</si>
  <si>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</si>
  <si>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</si>
  <si>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</si>
  <si>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</si>
  <si>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</si>
  <si>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</si>
  <si>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</si>
  <si>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</si>
  <si>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</si>
  <si>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</si>
  <si>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</si>
  <si>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</si>
  <si>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</si>
  <si>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</si>
  <si>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</si>
  <si>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</si>
  <si>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</si>
  <si>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</si>
  <si>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</si>
  <si>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</si>
  <si>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</si>
  <si>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</si>
  <si>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</si>
  <si>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</si>
  <si>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</si>
  <si>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</si>
  <si>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</si>
  <si>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</si>
  <si>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</si>
  <si>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</si>
  <si>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</si>
  <si>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</si>
  <si>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</si>
  <si>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</si>
  <si>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</si>
  <si>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</si>
  <si>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</si>
  <si>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</si>
  <si>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</si>
  <si>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</si>
  <si>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</si>
  <si>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</si>
  <si>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</si>
  <si>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</si>
  <si>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</si>
  <si>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</si>
  <si>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</si>
  <si>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</si>
  <si>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</si>
  <si>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</si>
  <si>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</si>
  <si>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</si>
  <si>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</si>
  <si>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</si>
  <si>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</si>
  <si>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</si>
  <si>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</si>
  <si>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</si>
  <si>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</si>
  <si>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</si>
  <si>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</si>
  <si>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</si>
  <si>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</si>
  <si>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</si>
  <si>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</si>
  <si>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</si>
  <si>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</si>
  <si>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</si>
  <si>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</si>
  <si>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</si>
  <si>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</si>
  <si>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</si>
  <si>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</si>
  <si>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</si>
  <si>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</si>
  <si>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</si>
  <si>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</si>
  <si>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</si>
  <si>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</si>
  <si>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</si>
  <si>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</si>
  <si>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</si>
  <si>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</si>
  <si>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</si>
  <si>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</si>
  <si>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</si>
  <si>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</si>
  <si>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</si>
  <si>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</si>
  <si>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</si>
  <si>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</si>
  <si>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</si>
  <si>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</si>
  <si>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</si>
  <si>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</si>
  <si>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</si>
  <si>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</si>
  <si>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</si>
  <si>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</si>
  <si>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</si>
  <si>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</si>
  <si>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</si>
  <si>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</si>
  <si>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</si>
  <si>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</si>
  <si>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</si>
  <si>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</si>
  <si>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</si>
  <si>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</si>
  <si>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</si>
  <si>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</si>
  <si>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</si>
  <si>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</si>
  <si>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</si>
  <si>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</si>
  <si>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</si>
  <si>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</si>
  <si>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</si>
  <si>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</si>
  <si>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</si>
  <si>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</si>
  <si>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</si>
  <si>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</si>
  <si>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</si>
  <si>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</si>
  <si>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</si>
  <si>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</si>
  <si>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</si>
  <si>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</si>
  <si>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</si>
  <si>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</si>
  <si>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</si>
  <si>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</si>
  <si>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</si>
  <si>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</si>
  <si>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</si>
  <si>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</si>
  <si>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</si>
  <si>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</si>
  <si>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</si>
  <si>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</si>
  <si>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</si>
  <si>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</si>
  <si>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</si>
  <si>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</si>
  <si>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</si>
  <si>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</si>
  <si>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</si>
  <si>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</si>
  <si>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</si>
  <si>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</si>
  <si>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</si>
  <si>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</si>
  <si>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</si>
  <si>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</si>
  <si>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</si>
  <si>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</si>
  <si>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</si>
  <si>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</si>
  <si>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</si>
  <si>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</si>
  <si>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</si>
  <si>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</si>
  <si>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</si>
  <si>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</si>
  <si>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</si>
  <si>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</si>
  <si>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</si>
  <si>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</si>
  <si>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</si>
  <si>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</si>
  <si>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</si>
  <si>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</si>
  <si>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</si>
  <si>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</si>
  <si>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</si>
  <si>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</si>
  <si>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</si>
  <si>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</si>
  <si>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</si>
  <si>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</si>
  <si>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</si>
  <si>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</si>
  <si>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</si>
  <si>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</si>
  <si>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</si>
  <si>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</si>
  <si>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</si>
  <si>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</si>
  <si>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</si>
  <si>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</si>
  <si>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</si>
  <si>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</si>
  <si>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</si>
  <si>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</si>
  <si>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</si>
  <si>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</si>
  <si>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</si>
  <si>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</si>
  <si>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</si>
  <si>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</si>
  <si>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</si>
  <si>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</si>
  <si>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</si>
  <si>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</si>
  <si>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</si>
  <si>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</si>
  <si>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</si>
  <si>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</si>
  <si>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</si>
  <si>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</si>
  <si>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</si>
  <si>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</si>
  <si>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</si>
  <si>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</si>
  <si>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</si>
  <si>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</si>
  <si>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</si>
  <si>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</si>
  <si>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</si>
  <si>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</si>
  <si>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</si>
  <si>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</si>
  <si>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</si>
  <si>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</si>
  <si>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</si>
  <si>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</si>
  <si>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</si>
  <si>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</si>
  <si>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</si>
  <si>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</si>
  <si>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</si>
  <si>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</si>
  <si>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</si>
  <si>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</si>
  <si>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</si>
  <si>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</si>
  <si>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</si>
  <si>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</si>
  <si>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</si>
  <si>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</si>
  <si>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</si>
  <si>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</si>
  <si>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</si>
  <si>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</si>
  <si>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</si>
  <si>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</si>
  <si>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</si>
  <si>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</si>
  <si>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</si>
  <si>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</si>
  <si>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</si>
  <si>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</si>
  <si>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</si>
  <si>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</si>
  <si>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</si>
  <si>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</si>
  <si>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</si>
  <si>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</si>
  <si>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</si>
  <si>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</si>
  <si>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</si>
  <si>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</si>
  <si>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</si>
  <si>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</si>
  <si>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</si>
  <si>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</si>
  <si>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</si>
  <si>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</si>
  <si>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</si>
  <si>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</si>
  <si>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</si>
  <si>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</si>
  <si>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</si>
  <si>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</si>
  <si>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</si>
  <si>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</si>
  <si>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</si>
  <si>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</si>
  <si>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</si>
  <si>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</si>
  <si>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</si>
  <si>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</si>
  <si>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</si>
  <si>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</si>
  <si>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</si>
  <si>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</si>
  <si>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</si>
  <si>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</si>
  <si>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</si>
  <si>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</si>
  <si>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</si>
  <si>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</si>
  <si>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</si>
  <si>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</si>
  <si>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</si>
  <si>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</si>
  <si>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</si>
  <si>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</si>
  <si>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</si>
  <si>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</si>
  <si>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</si>
  <si>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</si>
  <si>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</si>
  <si>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</si>
  <si>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</si>
  <si>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</si>
  <si>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</si>
  <si>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</si>
  <si>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</si>
  <si>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</si>
  <si>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</si>
  <si>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</si>
  <si>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</si>
  <si>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</si>
  <si>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</si>
  <si>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</si>
  <si>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</si>
  <si>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</si>
  <si>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</si>
  <si>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</si>
  <si>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</si>
  <si>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</si>
  <si>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</si>
  <si>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</si>
  <si>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</si>
  <si>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</si>
  <si>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</si>
  <si>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</si>
  <si>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</si>
  <si>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</si>
  <si>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</si>
  <si>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</si>
  <si>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</si>
  <si>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</si>
  <si>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</si>
  <si>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</si>
  <si>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</si>
  <si>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</si>
  <si>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</si>
  <si>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</si>
  <si>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</si>
  <si>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</si>
  <si>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</si>
  <si>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</si>
  <si>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</si>
  <si>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</si>
  <si>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</si>
  <si>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</si>
  <si>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</si>
  <si>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</si>
  <si>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</si>
  <si>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</si>
  <si>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</si>
  <si>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</si>
  <si>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</si>
  <si>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</si>
  <si>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</si>
  <si>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</si>
  <si>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</si>
  <si>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</si>
  <si>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</si>
  <si>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</si>
  <si>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</si>
  <si>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</si>
  <si>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</si>
  <si>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</si>
  <si>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</si>
  <si>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</si>
  <si>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</si>
  <si>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</si>
  <si>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</si>
  <si>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</si>
  <si>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</si>
  <si>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</si>
  <si>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</si>
  <si>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</si>
  <si>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</si>
  <si>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</si>
  <si>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</si>
  <si>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</si>
  <si>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</si>
  <si>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</si>
  <si>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</si>
  <si>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</si>
  <si>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</si>
  <si>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</si>
  <si>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</si>
  <si>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</si>
  <si>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</si>
  <si>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</si>
  <si>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</si>
  <si>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</si>
  <si>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</si>
  <si>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</si>
  <si>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</si>
  <si>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</si>
  <si>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</si>
  <si>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</si>
  <si>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</si>
  <si>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</si>
  <si>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</si>
  <si>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</si>
  <si>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</si>
  <si>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</si>
  <si>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</si>
  <si>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</si>
  <si>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</si>
  <si>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</si>
  <si>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</si>
  <si>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</si>
  <si>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</si>
  <si>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</si>
  <si>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</si>
  <si>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</si>
  <si>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</si>
  <si>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</si>
  <si>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</si>
  <si>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</si>
  <si>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</si>
  <si>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</si>
  <si>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</si>
  <si>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</si>
  <si>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</si>
  <si>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</si>
  <si>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</si>
  <si>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</si>
  <si>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</si>
  <si>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</si>
  <si>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</si>
  <si>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</si>
  <si>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</si>
  <si>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</si>
  <si>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</si>
  <si>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</si>
  <si>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</si>
  <si>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</si>
  <si>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</si>
  <si>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</si>
  <si>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</si>
  <si>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</si>
  <si>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</si>
  <si>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</si>
  <si>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</si>
  <si>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</si>
  <si>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</si>
  <si>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</si>
  <si>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</si>
  <si>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</si>
  <si>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</si>
  <si>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</si>
  <si>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</si>
  <si>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</si>
  <si>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</si>
  <si>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</si>
  <si>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</si>
  <si>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</si>
  <si>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</si>
  <si>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</si>
  <si>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</si>
  <si>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</si>
  <si>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</si>
  <si>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</si>
  <si>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</si>
  <si>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</si>
  <si>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</si>
  <si>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</si>
  <si>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</si>
  <si>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</si>
  <si>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</si>
  <si>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</si>
  <si>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</si>
  <si>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</si>
  <si>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</si>
  <si>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</si>
  <si>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</si>
  <si>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</si>
  <si>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</si>
  <si>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</si>
  <si>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</si>
  <si>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</si>
  <si>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</si>
  <si>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</si>
  <si>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</si>
  <si>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</si>
  <si>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</si>
  <si>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</si>
  <si>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</si>
  <si>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</si>
  <si>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</si>
  <si>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</si>
  <si>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</si>
  <si>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</si>
  <si>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</si>
  <si>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</si>
  <si>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</si>
  <si>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</si>
  <si>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</si>
  <si>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</si>
  <si>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</si>
  <si>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</si>
  <si>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</si>
  <si>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</si>
  <si>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</si>
  <si>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</si>
  <si>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</si>
  <si>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</si>
  <si>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</si>
  <si>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</si>
  <si>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</si>
  <si>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</si>
  <si>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</si>
  <si>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</si>
  <si>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</si>
  <si>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</si>
  <si>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</si>
  <si>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</si>
  <si>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</si>
  <si>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</si>
  <si>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</si>
  <si>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</si>
  <si>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</si>
  <si>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</si>
  <si>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</si>
  <si>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</si>
  <si>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</si>
  <si>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</si>
  <si>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</si>
  <si>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</si>
  <si>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</si>
  <si>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</si>
  <si>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</si>
  <si>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</si>
  <si>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</si>
  <si>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</si>
  <si>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</si>
  <si>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</si>
  <si>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</si>
  <si>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</si>
  <si>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</si>
  <si>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</si>
  <si>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</si>
  <si>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</si>
  <si>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</si>
  <si>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</si>
  <si>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</si>
  <si>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</si>
  <si>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</si>
  <si>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</si>
  <si>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</si>
  <si>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</si>
  <si>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</si>
  <si>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</si>
  <si>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</si>
  <si>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</si>
  <si>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</si>
  <si>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</si>
  <si>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</si>
  <si>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</si>
  <si>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</si>
  <si>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</si>
  <si>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</si>
  <si>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</si>
  <si>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</si>
  <si>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</si>
  <si>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</si>
  <si>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</si>
  <si>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</si>
  <si>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</si>
  <si>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</si>
  <si>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</si>
  <si>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</si>
  <si>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</si>
  <si>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</si>
  <si>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</si>
  <si>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</si>
  <si>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</si>
  <si>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</si>
  <si>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</si>
  <si>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</si>
  <si>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</si>
  <si>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</si>
  <si>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</si>
  <si>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</si>
  <si>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</si>
  <si>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</si>
  <si>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</si>
  <si>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</si>
  <si>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</si>
  <si>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</si>
  <si>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</si>
  <si>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</si>
  <si>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</si>
  <si>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</si>
  <si>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</si>
  <si>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</si>
  <si>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</si>
  <si>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</si>
  <si>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</si>
  <si>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</si>
  <si>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</si>
  <si>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</si>
  <si>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</si>
  <si>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</si>
  <si>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</si>
  <si>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</si>
  <si>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</si>
  <si>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</si>
  <si>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</si>
  <si>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</si>
  <si>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</si>
  <si>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</si>
  <si>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</si>
  <si>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</si>
  <si>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</si>
  <si>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</si>
  <si>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</si>
  <si>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</si>
  <si>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</si>
  <si>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</si>
  <si>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</si>
  <si>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</si>
  <si>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</si>
  <si>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</si>
  <si>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</si>
  <si>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</si>
  <si>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</si>
  <si>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</si>
  <si>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</si>
  <si>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</si>
  <si>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</si>
  <si>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</si>
  <si>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</si>
  <si>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</si>
  <si>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</si>
  <si>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</si>
  <si>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</si>
  <si>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</si>
  <si>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</si>
  <si>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</si>
  <si>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</si>
  <si>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</si>
  <si>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</si>
  <si>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</si>
  <si>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</si>
  <si>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</si>
  <si>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</si>
  <si>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</si>
  <si>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</si>
  <si>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</si>
  <si>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</si>
  <si>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</si>
  <si>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</si>
  <si>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</si>
  <si>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</si>
  <si>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</si>
  <si>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</si>
  <si>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</si>
  <si>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</si>
  <si>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</si>
  <si>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</si>
  <si>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</si>
  <si>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</si>
  <si>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</si>
  <si>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</si>
  <si>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</si>
  <si>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</si>
  <si>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</si>
  <si>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</si>
  <si>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</si>
  <si>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</si>
  <si>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</si>
  <si>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</si>
  <si>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</si>
  <si>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</si>
  <si>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</si>
  <si>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</si>
  <si>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</si>
  <si>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</si>
  <si>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</si>
  <si>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</si>
  <si>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</si>
  <si>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</si>
  <si>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</si>
  <si>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</si>
  <si>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</si>
  <si>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</si>
  <si>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</si>
  <si>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</si>
  <si>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</si>
  <si>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</si>
  <si>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</si>
  <si>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</si>
  <si>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</si>
  <si>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</si>
  <si>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</si>
  <si>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</si>
  <si>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</si>
  <si>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</si>
  <si>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</si>
  <si>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</si>
  <si>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</si>
  <si>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</si>
  <si>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</si>
  <si>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</si>
  <si>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</si>
  <si>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</si>
  <si>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</si>
  <si>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</si>
  <si>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</si>
  <si>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</si>
  <si>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</si>
  <si>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</si>
  <si>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</si>
  <si>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</si>
  <si>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</si>
  <si>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</si>
  <si>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</si>
  <si>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</si>
  <si>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</si>
  <si>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</si>
  <si>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</si>
  <si>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</si>
  <si>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</si>
  <si>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</si>
  <si>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</si>
  <si>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</si>
  <si>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</si>
  <si>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</si>
  <si>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</si>
  <si>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</si>
  <si>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</si>
  <si>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</si>
  <si>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</si>
  <si>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</si>
  <si>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</si>
  <si>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</si>
  <si>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</si>
  <si>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</si>
  <si>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</si>
  <si>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</si>
  <si>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</si>
  <si>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</si>
  <si>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</si>
  <si>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</si>
  <si>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</si>
  <si>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</si>
  <si>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</si>
  <si>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</si>
  <si>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</si>
  <si>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</si>
  <si>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</si>
  <si>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</si>
  <si>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</si>
  <si>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</si>
  <si>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</si>
  <si>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</si>
  <si>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</si>
  <si>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</si>
  <si>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</si>
  <si>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</si>
  <si>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</si>
  <si>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</si>
  <si>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</si>
  <si>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</si>
  <si>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</si>
  <si>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</si>
  <si>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</si>
  <si>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</si>
  <si>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</si>
  <si>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</si>
  <si>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</si>
  <si>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</si>
  <si>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</si>
  <si>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</si>
  <si>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</si>
  <si>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</si>
  <si>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</si>
  <si>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</si>
  <si>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</si>
  <si>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</si>
  <si>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</si>
  <si>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</si>
  <si>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</si>
  <si>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</si>
  <si>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</si>
  <si>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</si>
  <si>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</si>
  <si>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</si>
  <si>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</si>
  <si>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</si>
  <si>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</si>
  <si>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</si>
  <si>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</si>
  <si>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</si>
  <si>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</si>
  <si>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</si>
  <si>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</si>
  <si>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</si>
  <si>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</si>
  <si>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</si>
  <si>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</si>
  <si>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</si>
  <si>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</si>
  <si>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</si>
  <si>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</si>
  <si>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</si>
  <si>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</si>
  <si>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</si>
  <si>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</si>
  <si>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</si>
  <si>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</si>
  <si>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</si>
  <si>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</si>
  <si>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</si>
  <si>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</si>
  <si>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</si>
  <si>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</si>
  <si>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</si>
  <si>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</si>
  <si>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</si>
  <si>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</si>
  <si>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</si>
  <si>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</si>
  <si>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</si>
  <si>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</si>
  <si>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</si>
  <si>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</si>
  <si>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</si>
  <si>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</si>
  <si>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</si>
  <si>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</si>
  <si>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</si>
  <si>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</si>
  <si>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</si>
  <si>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</si>
  <si>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</si>
  <si>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</si>
  <si>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</si>
  <si>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</si>
  <si>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</si>
  <si>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</si>
  <si>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</si>
  <si>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</si>
  <si>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</si>
  <si>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</si>
  <si>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</si>
  <si>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</si>
  <si>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</si>
  <si>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</si>
  <si>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</si>
  <si>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</si>
  <si>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</si>
  <si>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</si>
  <si>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</si>
  <si>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</si>
  <si>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</si>
  <si>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</si>
  <si>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</si>
  <si>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</si>
  <si>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</si>
  <si>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</si>
  <si>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</si>
  <si>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</si>
  <si>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</si>
  <si>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</si>
  <si>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</si>
  <si>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</si>
  <si>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</si>
  <si>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</si>
  <si>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</si>
  <si>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</si>
  <si>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</si>
  <si>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</si>
  <si>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</si>
  <si>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</si>
  <si>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</si>
  <si>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</si>
  <si>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</si>
  <si>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</si>
  <si>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</si>
  <si>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</si>
  <si>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</si>
  <si>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</si>
  <si>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</si>
  <si>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</si>
  <si>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</si>
  <si>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</si>
  <si>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</si>
  <si>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</si>
  <si>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</si>
  <si>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</si>
  <si>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</si>
  <si>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</si>
  <si>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</si>
  <si>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</si>
  <si>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</si>
  <si>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</si>
  <si>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</si>
  <si>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</si>
  <si>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</si>
  <si>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</si>
  <si>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</si>
  <si>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</si>
  <si>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</si>
  <si>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</si>
  <si>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</si>
  <si>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</si>
  <si>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</si>
  <si>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</si>
  <si>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</si>
  <si>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</si>
  <si>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</si>
  <si>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</si>
  <si>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</si>
  <si>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</si>
  <si>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</si>
  <si>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</si>
  <si>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</si>
  <si>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</si>
  <si>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</si>
  <si>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</si>
  <si>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</si>
  <si>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</si>
  <si>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</si>
  <si>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</si>
  <si>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</si>
  <si>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</si>
  <si>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</si>
  <si>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</si>
  <si>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</si>
  <si>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</si>
  <si>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</si>
  <si>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</si>
  <si>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</si>
  <si>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</si>
  <si>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</si>
  <si>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</si>
  <si>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</si>
  <si>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</si>
  <si>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</si>
  <si>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</si>
  <si>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</si>
  <si>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</si>
  <si>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</si>
  <si>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</si>
  <si>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</si>
  <si>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</si>
  <si>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</si>
  <si>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</si>
  <si>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</si>
  <si>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</si>
  <si>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</si>
  <si>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</si>
  <si>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</si>
  <si>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</si>
  <si>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</si>
  <si>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</si>
  <si>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</si>
  <si>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</si>
  <si>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</si>
  <si>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</si>
  <si>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</si>
  <si>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</si>
  <si>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</si>
  <si>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</si>
  <si>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</si>
  <si>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</si>
  <si>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</si>
  <si>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</si>
  <si>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</si>
  <si>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</si>
  <si>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</si>
  <si>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</si>
  <si>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</si>
  <si>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</si>
  <si>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</si>
  <si>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</si>
  <si>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</si>
  <si>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</si>
  <si>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</si>
  <si>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</si>
  <si>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</si>
  <si>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</si>
  <si>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</si>
  <si>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</si>
  <si>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</si>
  <si>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</si>
  <si>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</si>
  <si>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</si>
  <si>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</si>
  <si>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</si>
  <si>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</si>
  <si>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</si>
  <si>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</si>
  <si>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</si>
  <si>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</si>
  <si>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</si>
  <si>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</si>
  <si>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</si>
  <si>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</si>
  <si>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</si>
  <si>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</si>
  <si>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</si>
  <si>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</si>
  <si>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</si>
  <si>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</si>
  <si>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</si>
  <si>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</si>
  <si>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</si>
  <si>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</si>
  <si>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</si>
  <si>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</si>
  <si>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</si>
  <si>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</si>
  <si>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</si>
  <si>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</si>
  <si>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</si>
  <si>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</si>
  <si>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</si>
  <si>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</si>
  <si>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</si>
  <si>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</si>
  <si>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</si>
  <si>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</si>
  <si>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</si>
  <si>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</si>
  <si>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</si>
  <si>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</si>
  <si>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</si>
  <si>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</si>
  <si>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</si>
  <si>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</si>
  <si>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</si>
  <si>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</si>
  <si>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</si>
  <si>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</si>
  <si>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</si>
  <si>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</si>
  <si>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</si>
  <si>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</si>
  <si>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</si>
  <si>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</si>
  <si>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</si>
  <si>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</si>
  <si>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</si>
  <si>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</si>
  <si>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</si>
  <si>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</si>
  <si>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</si>
  <si>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</si>
  <si>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</si>
  <si>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</si>
  <si>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</si>
  <si>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</si>
  <si>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</si>
  <si>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</si>
  <si>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</si>
  <si>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</si>
  <si>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</si>
  <si>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</si>
  <si>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</si>
  <si>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</si>
  <si>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</si>
  <si>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</si>
  <si>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</si>
  <si>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</si>
  <si>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</si>
  <si>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</si>
  <si>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</si>
  <si>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</si>
  <si>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</si>
  <si>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</si>
  <si>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</si>
  <si>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</si>
  <si>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</si>
  <si>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</si>
  <si>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</si>
  <si>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</si>
  <si>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</si>
  <si>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</si>
  <si>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</si>
  <si>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</si>
  <si>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</si>
  <si>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</si>
  <si>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</si>
  <si>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</si>
  <si>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</si>
  <si>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</si>
  <si>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</si>
  <si>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</si>
  <si>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</si>
  <si>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</si>
  <si>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</si>
  <si>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</si>
  <si>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</si>
  <si>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</si>
  <si>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</si>
  <si>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</si>
  <si>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</si>
  <si>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</si>
  <si>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</si>
  <si>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</si>
  <si>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</si>
  <si>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</si>
  <si>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</si>
  <si>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</si>
  <si>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</si>
  <si>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</si>
  <si>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</si>
  <si>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</si>
  <si>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</si>
  <si>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</si>
  <si>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</si>
  <si>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</si>
  <si>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</si>
  <si>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</si>
  <si>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</si>
  <si>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</si>
  <si>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</si>
  <si>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</si>
  <si>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</si>
  <si>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</si>
  <si>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</si>
  <si>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</si>
  <si>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</si>
  <si>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</si>
  <si>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</si>
  <si>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</si>
  <si>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</si>
  <si>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</si>
  <si>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</si>
  <si>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</si>
  <si>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</si>
  <si>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</si>
  <si>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</si>
  <si>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</si>
  <si>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</si>
  <si>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</si>
  <si>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</si>
  <si>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</si>
  <si>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</si>
  <si>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</si>
  <si>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</si>
  <si>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</si>
  <si>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</si>
  <si>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</si>
  <si>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</si>
  <si>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</si>
  <si>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</si>
  <si>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</si>
  <si>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</si>
  <si>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</si>
  <si>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</si>
  <si>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</si>
  <si>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</si>
  <si>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</si>
  <si>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</si>
  <si>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</si>
  <si>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</si>
  <si>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</si>
  <si>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</si>
  <si>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</si>
  <si>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</si>
  <si>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</si>
  <si>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</si>
  <si>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</si>
  <si>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</si>
  <si>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</si>
  <si>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</si>
  <si>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</si>
  <si>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</si>
  <si>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</si>
  <si>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</si>
  <si>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</si>
  <si>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</si>
  <si>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</si>
  <si>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</si>
  <si>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</si>
  <si>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</si>
  <si>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</si>
  <si>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</si>
  <si>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</si>
  <si>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</si>
  <si>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</si>
  <si>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</si>
  <si>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</si>
  <si>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</si>
  <si>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</si>
  <si>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</si>
  <si>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</si>
  <si>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</si>
  <si>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</si>
  <si>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</si>
  <si>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</si>
  <si>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</si>
  <si>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</si>
  <si>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</si>
  <si>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</si>
  <si>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</si>
  <si>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</si>
  <si>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</si>
  <si>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</si>
  <si>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</si>
  <si>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</si>
  <si>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</si>
  <si>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</si>
  <si>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</si>
  <si>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</si>
  <si>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</si>
  <si>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</si>
  <si>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</si>
  <si>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</si>
  <si>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</si>
  <si>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</si>
  <si>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</si>
  <si>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</si>
  <si>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</si>
  <si>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</si>
  <si>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</si>
  <si>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</si>
  <si>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</si>
  <si>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</si>
  <si>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</si>
  <si>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</si>
  <si>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</si>
  <si>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</si>
  <si>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</si>
  <si>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</si>
  <si>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</si>
  <si>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</si>
  <si>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</si>
  <si>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</si>
  <si>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</si>
  <si>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</si>
  <si>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</si>
  <si>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</si>
  <si>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</si>
  <si>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</si>
  <si>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</si>
  <si>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</si>
  <si>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</si>
  <si>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</si>
  <si>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</si>
  <si>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</si>
  <si>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</si>
  <si>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</si>
  <si>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</si>
  <si>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</si>
  <si>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</si>
  <si>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</si>
  <si>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</si>
  <si>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</si>
  <si>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</si>
  <si>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</si>
  <si>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</si>
  <si>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</si>
  <si>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</si>
  <si>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</si>
  <si>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</si>
  <si>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</si>
  <si>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</si>
  <si>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</si>
  <si>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</si>
  <si>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</si>
  <si>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</si>
  <si>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</si>
  <si>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</si>
  <si>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</si>
  <si>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</si>
  <si>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</si>
  <si>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</si>
  <si>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</si>
  <si>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</si>
  <si>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</si>
  <si>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</si>
  <si>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</si>
  <si>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</si>
  <si>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</si>
  <si>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</si>
  <si>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</si>
  <si>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</si>
  <si>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</si>
  <si>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</si>
  <si>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</si>
  <si>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</si>
  <si>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</si>
  <si>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</si>
  <si>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</si>
  <si>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</si>
  <si>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</si>
  <si>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</si>
  <si>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</si>
  <si>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</si>
  <si>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</si>
  <si>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</si>
  <si>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</si>
  <si>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</si>
  <si>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</si>
  <si>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</si>
  <si>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</si>
  <si>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</si>
  <si>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</si>
  <si>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</si>
  <si>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</si>
  <si>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</si>
  <si>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</si>
  <si>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</si>
  <si>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</si>
  <si>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</si>
  <si>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</si>
  <si>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</si>
  <si>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</si>
  <si>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</si>
  <si>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</si>
  <si>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</si>
  <si>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</si>
  <si>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</si>
  <si>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</si>
  <si>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</si>
  <si>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</si>
  <si>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</si>
  <si>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</si>
  <si>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</si>
  <si>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</si>
  <si>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</si>
  <si>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</si>
  <si>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</si>
  <si>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</si>
  <si>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</si>
  <si>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</si>
  <si>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</si>
  <si>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</si>
  <si>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</si>
  <si>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</si>
  <si>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</si>
  <si>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</si>
  <si>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</si>
  <si>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</si>
  <si>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</si>
  <si>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</si>
  <si>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</si>
  <si>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</si>
  <si>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</si>
  <si>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</si>
  <si>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</si>
  <si>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</si>
  <si>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</si>
  <si>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</si>
  <si>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</si>
  <si>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</si>
  <si>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</si>
  <si>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</si>
  <si>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</si>
  <si>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</si>
  <si>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</si>
  <si>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</si>
  <si>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</si>
  <si>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</si>
  <si>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</si>
  <si>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</si>
  <si>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</si>
  <si>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</si>
  <si>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</si>
  <si>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</si>
  <si>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</si>
  <si>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</si>
  <si>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</si>
  <si>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</si>
  <si>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</si>
  <si>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</si>
  <si>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</si>
  <si>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</si>
  <si>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</si>
  <si>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</si>
  <si>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</si>
  <si>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</si>
  <si>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</si>
  <si>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</si>
  <si>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</si>
  <si>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</si>
  <si>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</si>
  <si>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</si>
  <si>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</si>
  <si>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</si>
  <si>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</si>
  <si>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</si>
  <si>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</si>
  <si>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</si>
  <si>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</si>
  <si>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</si>
  <si>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</si>
  <si>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</si>
  <si>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</si>
  <si>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</si>
  <si>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</si>
  <si>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</si>
  <si>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</si>
  <si>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</si>
  <si>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</si>
  <si>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</si>
  <si>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</si>
  <si>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</si>
  <si>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</si>
  <si>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</si>
  <si>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</si>
  <si>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</si>
  <si>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</si>
  <si>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</si>
  <si>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</si>
  <si>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</si>
  <si>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</si>
  <si>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</si>
  <si>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</si>
  <si>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</si>
  <si>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</si>
  <si>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</si>
  <si>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</si>
  <si>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</si>
  <si>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</si>
  <si>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</si>
  <si>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</si>
  <si>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</si>
  <si>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</si>
  <si>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</si>
  <si>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</si>
  <si>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</si>
  <si>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</si>
  <si>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</si>
  <si>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</si>
  <si>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</si>
  <si>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</si>
  <si>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</si>
  <si>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</si>
  <si>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</si>
  <si>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</si>
  <si>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</si>
  <si>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</si>
  <si>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</si>
  <si>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</si>
  <si>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</si>
  <si>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</si>
  <si>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</si>
  <si>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</si>
  <si>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</si>
  <si>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</si>
  <si>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</si>
  <si>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</si>
  <si>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</si>
  <si>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</si>
  <si>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</si>
  <si>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</si>
  <si>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</si>
  <si>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</si>
  <si>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</si>
  <si>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</si>
  <si>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</si>
  <si>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</si>
  <si>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</si>
  <si>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</si>
  <si>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</si>
  <si>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</si>
  <si>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</si>
  <si>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</si>
  <si>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</si>
  <si>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</si>
  <si>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</si>
  <si>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</si>
  <si>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</si>
  <si>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</si>
  <si>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</si>
  <si>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</si>
  <si>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</si>
  <si>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</si>
  <si>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</si>
  <si>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</si>
  <si>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</si>
  <si>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</si>
  <si>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</si>
  <si>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</si>
  <si>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</si>
  <si>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</si>
  <si>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</si>
  <si>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</si>
  <si>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</si>
  <si>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</si>
  <si>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</si>
  <si>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</si>
  <si>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</si>
  <si>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</si>
  <si>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</si>
  <si>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</si>
  <si>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</si>
  <si>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</si>
  <si>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</si>
  <si>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</si>
  <si>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</si>
  <si>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</si>
  <si>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</si>
  <si>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</si>
  <si>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</si>
  <si>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</si>
  <si>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</si>
  <si>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</si>
  <si>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</si>
  <si>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</si>
  <si>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</si>
  <si>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</si>
  <si>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</si>
  <si>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</si>
  <si>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</si>
  <si>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</si>
  <si>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</si>
  <si>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</si>
  <si>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</si>
  <si>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</si>
  <si>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</si>
  <si>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</si>
  <si>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</si>
  <si>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</si>
  <si>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</si>
  <si>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</si>
  <si>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</si>
  <si>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</si>
  <si>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</si>
  <si>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</si>
  <si>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</si>
  <si>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</si>
  <si>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</si>
  <si>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</si>
  <si>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</si>
  <si>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</si>
  <si>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</si>
  <si>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</si>
  <si>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</si>
  <si>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</si>
  <si>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</si>
  <si>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</si>
  <si>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</si>
  <si>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</si>
  <si>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</si>
  <si>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</si>
  <si>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</si>
  <si>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</si>
  <si>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</si>
  <si>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</si>
  <si>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</si>
  <si>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</si>
  <si>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</si>
  <si>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</si>
  <si>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</si>
  <si>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</si>
  <si>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</si>
  <si>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</si>
  <si>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</si>
  <si>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</si>
  <si>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</si>
  <si>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</si>
  <si>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</si>
  <si>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</si>
  <si>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</si>
  <si>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</si>
  <si>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</si>
  <si>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</si>
  <si>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</si>
  <si>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</si>
  <si>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</si>
  <si>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</si>
  <si>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</si>
  <si>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</si>
  <si>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</si>
  <si>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</si>
  <si>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</si>
  <si>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</si>
  <si>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</si>
  <si>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</si>
  <si>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</si>
  <si>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</si>
  <si>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</si>
  <si>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</si>
  <si>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</si>
  <si>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</si>
  <si>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</si>
  <si>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</si>
  <si>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</si>
  <si>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</si>
  <si>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</si>
  <si>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</si>
  <si>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</si>
  <si>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</si>
  <si>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</si>
  <si>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</si>
  <si>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</si>
  <si>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</si>
  <si>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</si>
  <si>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</si>
  <si>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</si>
  <si>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</si>
  <si>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</si>
  <si>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</si>
  <si>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</si>
  <si>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</si>
  <si>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</si>
  <si>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</si>
  <si>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</si>
  <si>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</si>
  <si>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</si>
  <si>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</si>
  <si>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</si>
  <si>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</si>
  <si>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</si>
  <si>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</si>
  <si>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</si>
  <si>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</si>
  <si>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</si>
  <si>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</si>
  <si>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</si>
  <si>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</si>
  <si>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</si>
  <si>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</si>
  <si>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</si>
  <si>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</si>
  <si>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</si>
  <si>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</si>
  <si>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</si>
  <si>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</si>
  <si>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</si>
  <si>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</si>
  <si>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</si>
  <si>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</si>
  <si>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</si>
  <si>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</si>
  <si>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</si>
  <si>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</si>
  <si>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</si>
  <si>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</si>
  <si>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</si>
  <si>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</si>
  <si>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</si>
  <si>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</si>
  <si>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</si>
  <si>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</si>
  <si>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</si>
  <si>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</si>
  <si>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</si>
  <si>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</si>
  <si>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</si>
  <si>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</si>
  <si>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</si>
  <si>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</si>
  <si>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</si>
  <si>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</si>
  <si>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</si>
  <si>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</si>
  <si>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</si>
  <si>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</si>
  <si>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</si>
  <si>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</si>
  <si>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</si>
  <si>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</si>
  <si>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</si>
  <si>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</si>
  <si>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</si>
  <si>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</si>
  <si>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</si>
  <si>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</si>
  <si>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</si>
  <si>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</si>
  <si>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</si>
  <si>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</si>
  <si>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</si>
  <si>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</si>
  <si>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</si>
  <si>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</si>
  <si>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</si>
  <si>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</si>
  <si>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</si>
  <si>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</si>
  <si>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</si>
  <si>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</si>
  <si>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</si>
  <si>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</si>
  <si>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</si>
  <si>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</si>
  <si>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</si>
  <si>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</si>
  <si>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</si>
  <si>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</si>
  <si>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</si>
  <si>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</si>
  <si>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</si>
  <si>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</si>
  <si>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</si>
  <si>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</si>
  <si>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</si>
  <si>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</si>
  <si>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</si>
  <si>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</si>
  <si>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</si>
  <si>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</si>
  <si>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</si>
  <si>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</si>
  <si>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</si>
  <si>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</si>
  <si>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</si>
  <si>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</si>
  <si>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</si>
  <si>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</si>
  <si>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</si>
  <si>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</si>
  <si>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</si>
  <si>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</si>
  <si>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</si>
  <si>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</si>
  <si>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</si>
  <si>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</si>
  <si>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</si>
  <si>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</si>
  <si>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</si>
  <si>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</si>
  <si>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</si>
  <si>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</si>
  <si>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</si>
  <si>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</si>
  <si>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</si>
  <si>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</si>
  <si>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</si>
  <si>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</si>
  <si>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</si>
  <si>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</si>
  <si>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</si>
  <si>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</si>
  <si>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</si>
  <si>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</si>
  <si>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</si>
  <si>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</si>
  <si>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</si>
  <si>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</si>
  <si>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</si>
  <si>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</si>
  <si>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</si>
  <si>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</si>
  <si>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</si>
  <si>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</si>
  <si>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</si>
  <si>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</si>
  <si>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</si>
  <si>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</si>
  <si>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</si>
  <si>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</si>
  <si>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</si>
  <si>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</si>
  <si>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</si>
  <si>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</si>
  <si>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</si>
  <si>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</si>
  <si>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</si>
  <si>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</si>
  <si>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</si>
  <si>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</si>
  <si>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</si>
  <si>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</si>
  <si>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</si>
  <si>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</si>
  <si>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</si>
  <si>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</si>
  <si>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</si>
  <si>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</si>
  <si>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</si>
  <si>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</si>
  <si>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</si>
  <si>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</si>
  <si>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</si>
  <si>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</si>
  <si>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</si>
  <si>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</si>
  <si>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</si>
  <si>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</si>
  <si>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</si>
  <si>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</si>
  <si>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</si>
  <si>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</si>
  <si>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</si>
  <si>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</si>
  <si>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</si>
  <si>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</si>
  <si>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</si>
  <si>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</si>
  <si>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</si>
  <si>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</si>
  <si>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</si>
  <si>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</si>
  <si>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</si>
  <si>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</si>
  <si>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</si>
  <si>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</si>
  <si>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</si>
  <si>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</si>
  <si>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</si>
  <si>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</si>
  <si>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</si>
  <si>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</si>
  <si>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</si>
  <si>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</si>
  <si>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</si>
  <si>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</si>
  <si>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</si>
  <si>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</si>
  <si>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</si>
  <si>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</si>
  <si>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</si>
  <si>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</si>
  <si>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</si>
  <si>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</si>
  <si>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</si>
  <si>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</si>
  <si>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</si>
  <si>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</si>
  <si>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</si>
  <si>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</si>
  <si>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</si>
  <si>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</si>
  <si>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</si>
  <si>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</si>
  <si>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</si>
  <si>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</si>
  <si>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</si>
  <si>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</si>
  <si>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</si>
  <si>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</si>
  <si>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</si>
  <si>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</si>
  <si>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</si>
  <si>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</si>
  <si>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</si>
  <si>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</si>
  <si>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</si>
  <si>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</si>
  <si>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</si>
  <si>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</si>
  <si>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</si>
  <si>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</si>
  <si>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</si>
  <si>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</si>
  <si>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</si>
  <si>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</si>
  <si>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</si>
  <si>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</si>
  <si>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</si>
  <si>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</si>
  <si>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</si>
  <si>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</si>
  <si>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</si>
  <si>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</si>
  <si>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</si>
  <si>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</si>
  <si>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</si>
  <si>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</si>
  <si>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</si>
  <si>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</si>
  <si>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</si>
  <si>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</si>
  <si>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</si>
  <si>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</si>
  <si>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</si>
  <si>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</si>
  <si>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</si>
  <si>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</si>
  <si>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</si>
  <si>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</si>
  <si>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</si>
  <si>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</si>
  <si>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</si>
  <si>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</si>
  <si>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</si>
  <si>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</si>
  <si>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</si>
  <si>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</si>
  <si>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</si>
  <si>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</si>
  <si>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</si>
  <si>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</si>
  <si>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</si>
  <si>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</si>
  <si>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</si>
  <si>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</si>
  <si>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</si>
  <si>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</si>
  <si>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</si>
  <si>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</si>
  <si>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</si>
  <si>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</si>
  <si>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</si>
  <si>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</si>
  <si>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</si>
  <si>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</si>
  <si>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</si>
  <si>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</si>
  <si>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</si>
  <si>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</si>
  <si>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</si>
  <si>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</si>
  <si>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</si>
  <si>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</si>
  <si>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</si>
  <si>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</si>
  <si>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</si>
  <si>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</si>
  <si>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</si>
  <si>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</si>
  <si>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</si>
  <si>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</si>
  <si>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</si>
  <si>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</si>
  <si>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</si>
  <si>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</si>
  <si>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</si>
  <si>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</si>
  <si>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</si>
  <si>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</si>
  <si>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</si>
  <si>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</si>
  <si>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</si>
  <si>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</si>
  <si>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</si>
  <si>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</si>
  <si>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</si>
  <si>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</si>
  <si>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</si>
  <si>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</si>
  <si>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</si>
  <si>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</si>
  <si>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</si>
  <si>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</si>
  <si>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</si>
  <si>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</si>
  <si>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</si>
  <si>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</si>
  <si>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</si>
  <si>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</si>
  <si>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</si>
  <si>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</si>
  <si>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</si>
  <si>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</si>
  <si>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</si>
  <si>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</si>
  <si>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</si>
  <si>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</si>
  <si>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</si>
  <si>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</si>
  <si>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</si>
  <si>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</si>
  <si>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</si>
  <si>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</si>
  <si>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</si>
  <si>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</si>
  <si>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</si>
  <si>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</si>
  <si>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</si>
  <si>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</si>
  <si>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</si>
  <si>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</si>
  <si>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</si>
  <si>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</si>
  <si>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</si>
  <si>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</si>
  <si>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</si>
  <si>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</si>
  <si>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</si>
  <si>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</si>
  <si>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</si>
  <si>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</si>
  <si>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</si>
  <si>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</si>
  <si>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</si>
  <si>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</si>
  <si>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</si>
  <si>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</si>
  <si>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</si>
  <si>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</si>
  <si>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</si>
  <si>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</si>
  <si>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</si>
  <si>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</si>
  <si>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</si>
  <si>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</si>
  <si>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</si>
  <si>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</si>
  <si>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</si>
  <si>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</si>
  <si>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</si>
  <si>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</si>
  <si>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</si>
  <si>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</si>
  <si>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</si>
  <si>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</si>
  <si>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</si>
  <si>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</si>
  <si>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</si>
  <si>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</si>
  <si>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</si>
  <si>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</si>
  <si>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</si>
  <si>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</si>
  <si>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</si>
  <si>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</si>
  <si>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</si>
  <si>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</si>
  <si>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</si>
  <si>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</si>
  <si>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</si>
  <si>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</si>
  <si>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</si>
  <si>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</si>
  <si>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</si>
  <si>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</si>
  <si>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</si>
  <si>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</si>
  <si>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</si>
  <si>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</si>
  <si>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</si>
  <si>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</si>
  <si>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</si>
  <si>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</si>
  <si>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</si>
  <si>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</si>
  <si>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</si>
  <si>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</si>
  <si>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</si>
  <si>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</si>
  <si>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</si>
  <si>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</si>
  <si>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</si>
  <si>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</si>
  <si>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</si>
  <si>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</si>
  <si>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</si>
  <si>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</si>
  <si>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</si>
  <si>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</si>
  <si>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</si>
  <si>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</si>
  <si>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</si>
  <si>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</si>
  <si>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</si>
  <si>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</si>
  <si>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</si>
  <si>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</si>
  <si>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</si>
  <si>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</si>
  <si>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</si>
  <si>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</si>
  <si>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</si>
  <si>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</si>
  <si>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</si>
  <si>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</si>
  <si>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</si>
  <si>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</si>
  <si>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</si>
  <si>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</si>
  <si>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</si>
  <si>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</si>
  <si>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</si>
  <si>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</si>
  <si>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</si>
  <si>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</si>
  <si>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</si>
  <si>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</si>
  <si>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</si>
  <si>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</si>
  <si>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</si>
  <si>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</si>
  <si>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</si>
  <si>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</si>
  <si>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</si>
  <si>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</si>
  <si>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</si>
  <si>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</si>
  <si>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</si>
  <si>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</si>
  <si>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</si>
  <si>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</si>
  <si>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</si>
  <si>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</si>
  <si>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</si>
  <si>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</si>
  <si>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</si>
  <si>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</si>
  <si>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</si>
  <si>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</si>
  <si>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</si>
  <si>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</si>
  <si>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</si>
  <si>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</si>
  <si>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</si>
  <si>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</si>
  <si>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</si>
  <si>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</si>
  <si>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</si>
  <si>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</si>
  <si>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</si>
  <si>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</si>
  <si>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</si>
  <si>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</si>
  <si>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</si>
  <si>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</si>
  <si>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</si>
  <si>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</si>
  <si>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</si>
  <si>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</si>
  <si>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</si>
  <si>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</si>
  <si>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</si>
  <si>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</si>
  <si>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</si>
  <si>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</si>
  <si>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</si>
  <si>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</si>
  <si>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</si>
  <si>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</si>
  <si>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</si>
  <si>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</si>
  <si>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</si>
  <si>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</si>
  <si>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</si>
  <si>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</si>
  <si>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</si>
  <si>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</si>
  <si>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</si>
  <si>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</si>
  <si>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</si>
  <si>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</si>
  <si>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</si>
  <si>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</si>
  <si>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</si>
  <si>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</si>
  <si>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</si>
  <si>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</si>
  <si>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</si>
  <si>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</si>
  <si>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</si>
  <si>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</si>
  <si>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</si>
  <si>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</si>
  <si>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</si>
  <si>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</si>
  <si>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</si>
  <si>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</si>
  <si>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</si>
  <si>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</si>
  <si>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</si>
  <si>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</si>
  <si>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</si>
  <si>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</si>
  <si>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</si>
  <si>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</si>
  <si>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</si>
  <si>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</si>
  <si>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</si>
  <si>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</si>
  <si>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</si>
  <si>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</si>
  <si>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</si>
  <si>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</si>
  <si>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</si>
  <si>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</si>
  <si>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</si>
  <si>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</si>
  <si>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</si>
  <si>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</si>
  <si>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</si>
  <si>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</si>
  <si>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</si>
  <si>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</si>
  <si>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</si>
  <si>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</si>
  <si>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</si>
  <si>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</si>
  <si>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</si>
  <si>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</si>
  <si>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</si>
  <si>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</si>
  <si>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</si>
  <si>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</si>
  <si>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</si>
  <si>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</si>
  <si>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</si>
  <si>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</si>
  <si>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</si>
  <si>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</si>
  <si>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</si>
  <si>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</si>
  <si>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</si>
  <si>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</si>
  <si>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</si>
  <si>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</si>
  <si>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</si>
  <si>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</si>
  <si>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</si>
  <si>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</si>
  <si>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</si>
  <si>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</si>
  <si>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</si>
  <si>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</si>
  <si>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</si>
  <si>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</si>
  <si>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</si>
  <si>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</si>
  <si>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</si>
  <si>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</si>
  <si>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</si>
  <si>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</si>
  <si>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</si>
  <si>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</si>
  <si>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</si>
  <si>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</si>
  <si>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</si>
  <si>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</si>
  <si>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</si>
  <si>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</si>
  <si>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</si>
  <si>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</si>
  <si>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</si>
  <si>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</si>
  <si>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</si>
  <si>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</si>
  <si>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</si>
  <si>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</si>
  <si>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</si>
  <si>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</si>
  <si>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</si>
  <si>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</si>
  <si>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</si>
  <si>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</si>
  <si>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</si>
  <si>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</si>
  <si>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</si>
  <si>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</si>
  <si>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</si>
  <si>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</si>
  <si>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</si>
  <si>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</si>
  <si>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</si>
  <si>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</si>
  <si>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</si>
  <si>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</si>
  <si>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</si>
  <si>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</si>
  <si>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</si>
  <si>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</si>
  <si>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</si>
  <si>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</si>
  <si>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</si>
  <si>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</si>
  <si>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</si>
  <si>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</si>
  <si>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</si>
  <si>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</si>
  <si>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</si>
  <si>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</si>
  <si>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</si>
  <si>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</si>
  <si>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</si>
  <si>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</si>
  <si>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</si>
  <si>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</si>
  <si>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</si>
  <si>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</si>
  <si>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</si>
  <si>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</si>
  <si>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</si>
  <si>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</si>
  <si>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</si>
  <si>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</si>
  <si>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</si>
  <si>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</si>
  <si>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</si>
  <si>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</si>
  <si>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</si>
  <si>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</si>
  <si>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</si>
  <si>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</si>
  <si>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</si>
  <si>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</si>
  <si>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</si>
  <si>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</si>
  <si>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</si>
  <si>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</si>
  <si>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</si>
  <si>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</si>
  <si>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</si>
  <si>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</si>
  <si>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</si>
  <si>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</si>
  <si>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</si>
  <si>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</si>
  <si>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</si>
  <si>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</si>
  <si>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</si>
  <si>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</si>
  <si>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</si>
  <si>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</si>
  <si>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</si>
  <si>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</si>
  <si>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</si>
  <si>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</si>
  <si>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</si>
  <si>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</si>
  <si>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</si>
  <si>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</si>
  <si>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</si>
  <si>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</si>
  <si>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</si>
  <si>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</si>
  <si>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</si>
  <si>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</si>
  <si>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</si>
  <si>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</si>
  <si>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</si>
  <si>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</si>
  <si>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</si>
  <si>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</si>
  <si>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</si>
  <si>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</si>
  <si>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</si>
  <si>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</si>
  <si>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</si>
  <si>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</si>
  <si>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</si>
  <si>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</si>
  <si>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</si>
  <si>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</si>
  <si>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</si>
  <si>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</si>
  <si>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</si>
  <si>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</si>
  <si>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</si>
  <si>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</si>
  <si>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</si>
  <si>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</si>
  <si>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</si>
  <si>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</si>
  <si>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</si>
  <si>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</si>
  <si>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</si>
  <si>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</si>
  <si>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</si>
  <si>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</si>
  <si>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</si>
  <si>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</si>
  <si>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</si>
  <si>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</si>
  <si>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</si>
  <si>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</si>
  <si>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</si>
  <si>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</si>
  <si>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</si>
  <si>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</si>
  <si>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</si>
  <si>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</si>
  <si>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</si>
  <si>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</si>
  <si>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</si>
  <si>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</si>
  <si>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</si>
  <si>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</si>
  <si>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</si>
  <si>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</si>
  <si>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</si>
  <si>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</si>
  <si>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</si>
  <si>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</si>
  <si>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</si>
  <si>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</si>
  <si>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</si>
  <si>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</si>
  <si>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</si>
  <si>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</si>
  <si>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</si>
  <si>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</si>
  <si>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</si>
  <si>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</si>
  <si>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</si>
  <si>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</si>
  <si>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</si>
  <si>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</si>
  <si>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</si>
  <si>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</si>
  <si>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</si>
  <si>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</si>
  <si>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</si>
  <si>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</si>
  <si>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</si>
  <si>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</si>
  <si>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</si>
  <si>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</si>
  <si>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</si>
  <si>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</si>
  <si>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</si>
  <si>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</si>
  <si>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</si>
  <si>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</si>
  <si>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</si>
  <si>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</si>
  <si>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</si>
  <si>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</si>
  <si>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</si>
  <si>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</si>
  <si>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</si>
  <si>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</si>
  <si>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</si>
  <si>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</si>
  <si>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</si>
  <si>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</si>
  <si>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</si>
  <si>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</si>
  <si>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</si>
  <si>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</si>
  <si>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</si>
  <si>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</si>
  <si>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</si>
  <si>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</si>
  <si>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</si>
  <si>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</si>
  <si>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</si>
  <si>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</si>
  <si>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</si>
  <si>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</si>
  <si>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</si>
  <si>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</si>
  <si>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</si>
  <si>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</si>
  <si>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</si>
  <si>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</si>
  <si>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</si>
  <si>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</si>
  <si>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</si>
  <si>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</si>
  <si>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</si>
  <si>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</si>
  <si>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</si>
  <si>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</si>
  <si>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</si>
  <si>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</si>
  <si>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</si>
  <si>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</si>
  <si>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</si>
  <si>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</si>
  <si>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</si>
  <si>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</si>
  <si>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</si>
  <si>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</si>
  <si>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</si>
  <si>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</si>
  <si>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</si>
  <si>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</si>
  <si>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</si>
  <si>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</si>
  <si>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</si>
  <si>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</si>
  <si>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</si>
  <si>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</si>
  <si>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</si>
  <si>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</si>
  <si>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</si>
  <si>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</si>
  <si>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</si>
  <si>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</si>
  <si>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</si>
  <si>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</si>
  <si>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</si>
  <si>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</si>
  <si>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</si>
  <si>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</si>
  <si>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</si>
  <si>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</si>
  <si>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</si>
  <si>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</si>
  <si>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</si>
  <si>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</si>
  <si>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</si>
  <si>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</si>
  <si>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</si>
  <si>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</si>
  <si>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</si>
  <si>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</si>
  <si>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</si>
  <si>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</si>
  <si>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</si>
  <si>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</si>
  <si>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</si>
  <si>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</si>
  <si>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</si>
  <si>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</si>
  <si>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</si>
  <si>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</si>
  <si>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</si>
  <si>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</si>
  <si>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</si>
  <si>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</si>
  <si>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</si>
  <si>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</si>
  <si>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</si>
  <si>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</si>
  <si>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</si>
  <si>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</si>
  <si>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</si>
  <si>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</si>
  <si>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</si>
  <si>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</si>
  <si>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</si>
  <si>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</si>
  <si>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</si>
  <si>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</si>
  <si>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</si>
  <si>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</si>
  <si>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</si>
  <si>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</si>
  <si>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</si>
  <si>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</si>
  <si>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</si>
  <si>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</si>
  <si>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</si>
  <si>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</si>
  <si>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</si>
  <si>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</si>
  <si>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</si>
  <si>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</si>
  <si>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</si>
  <si>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</si>
  <si>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</si>
  <si>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</si>
  <si>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</si>
  <si>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</si>
  <si>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</si>
  <si>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</si>
  <si>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</si>
  <si>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</si>
  <si>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</si>
  <si>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</si>
  <si>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</si>
  <si>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</si>
  <si>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</si>
  <si>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</si>
  <si>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</si>
  <si>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</si>
  <si>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</si>
  <si>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</si>
  <si>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</si>
  <si>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</si>
  <si>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</si>
  <si>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</si>
  <si>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</si>
  <si>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</si>
  <si>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</si>
  <si>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</si>
  <si>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</si>
  <si>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</si>
  <si>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</si>
  <si>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</si>
  <si>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</si>
  <si>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</si>
  <si>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</si>
  <si>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</si>
  <si>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</si>
  <si>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</si>
  <si>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</si>
  <si>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</si>
  <si>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</si>
  <si>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</si>
  <si>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</si>
  <si>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</si>
  <si>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</si>
  <si>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</si>
  <si>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</si>
  <si>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</si>
  <si>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</si>
  <si>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</si>
  <si>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</si>
  <si>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</si>
  <si>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</si>
  <si>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</si>
  <si>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</si>
  <si>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</si>
  <si>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</si>
  <si>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</si>
  <si>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</si>
  <si>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</si>
  <si>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</si>
  <si>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</si>
  <si>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</si>
  <si>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</si>
  <si>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</si>
  <si>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</si>
  <si>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</si>
  <si>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</si>
  <si>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</si>
  <si>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</si>
  <si>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</si>
  <si>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</si>
  <si>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</si>
  <si>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</si>
  <si>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</si>
  <si>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</si>
  <si>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</si>
  <si>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</si>
  <si>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</si>
  <si>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</si>
  <si>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</si>
  <si>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</si>
  <si>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</si>
  <si>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</si>
  <si>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</si>
  <si>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</si>
  <si>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</si>
  <si>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</si>
  <si>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</si>
  <si>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</si>
  <si>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</si>
  <si>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</si>
  <si>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</si>
  <si>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</si>
  <si>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</si>
  <si>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</si>
  <si>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</si>
  <si>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</si>
  <si>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</si>
  <si>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</si>
  <si>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</si>
  <si>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</si>
  <si>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</si>
  <si>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</si>
  <si>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</si>
  <si>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</si>
  <si>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</si>
  <si>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</si>
  <si>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</si>
  <si>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</si>
  <si>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</si>
  <si>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</si>
  <si>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</si>
  <si>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</si>
  <si>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</si>
  <si>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</si>
  <si>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</si>
  <si>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</si>
  <si>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</si>
  <si>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</si>
  <si>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</si>
  <si>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</si>
  <si>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</si>
  <si>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</si>
  <si>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</si>
  <si>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</si>
  <si>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</si>
  <si>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</si>
  <si>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</si>
  <si>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</si>
  <si>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</si>
  <si>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</si>
  <si>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</si>
  <si>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</si>
  <si>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</si>
  <si>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</si>
  <si>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</si>
  <si>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</si>
  <si>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</si>
  <si>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</si>
  <si>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</si>
  <si>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</si>
  <si>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</si>
  <si>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</si>
  <si>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</si>
  <si>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</si>
  <si>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</si>
  <si>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</si>
  <si>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</si>
  <si>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</si>
  <si>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</si>
  <si>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</si>
  <si>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</si>
  <si>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</si>
  <si>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</si>
  <si>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</si>
  <si>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</si>
  <si>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</si>
  <si>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</si>
  <si>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</si>
  <si>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</si>
  <si>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</si>
  <si>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</si>
  <si>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</si>
  <si>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</si>
  <si>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</si>
  <si>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</si>
  <si>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</si>
  <si>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</si>
  <si>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</si>
  <si>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</si>
  <si>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</si>
  <si>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</si>
  <si>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</si>
  <si>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</si>
  <si>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</si>
  <si>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</si>
  <si>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</si>
  <si>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</si>
  <si>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</si>
  <si>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</si>
  <si>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</si>
  <si>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</si>
  <si>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</si>
  <si>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</si>
  <si>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</si>
  <si>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</si>
  <si>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</si>
  <si>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</si>
  <si>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</si>
  <si>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</si>
  <si>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</si>
  <si>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</si>
  <si>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</si>
  <si>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</si>
  <si>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</si>
  <si>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</si>
  <si>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</si>
  <si>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</si>
  <si>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</si>
  <si>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</si>
  <si>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</si>
  <si>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</si>
  <si>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</si>
  <si>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</si>
  <si>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</si>
  <si>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</si>
  <si>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</si>
  <si>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</si>
  <si>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</si>
  <si>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</si>
  <si>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</si>
  <si>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</si>
  <si>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</si>
  <si>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</si>
  <si>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</si>
  <si>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</si>
  <si>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</si>
  <si>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</si>
  <si>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</si>
  <si>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</si>
  <si>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</si>
  <si>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</si>
  <si>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</si>
  <si>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</si>
  <si>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</si>
  <si>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</si>
  <si>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</si>
  <si>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</si>
  <si>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</si>
  <si>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</si>
  <si>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</si>
  <si>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</si>
  <si>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</si>
  <si>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</si>
  <si>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</si>
  <si>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</si>
  <si>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</si>
  <si>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</si>
  <si>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</si>
  <si>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</si>
  <si>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</si>
  <si>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</si>
  <si>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</si>
  <si>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</si>
  <si>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</si>
  <si>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</si>
  <si>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</si>
  <si>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</si>
  <si>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</si>
  <si>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</si>
  <si>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</si>
  <si>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</si>
  <si>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</si>
  <si>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</si>
  <si>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</si>
  <si>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</si>
  <si>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</si>
  <si>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</si>
  <si>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</si>
  <si>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</si>
  <si>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</si>
  <si>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</si>
  <si>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</si>
  <si>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</si>
  <si>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</si>
  <si>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</si>
  <si>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</si>
  <si>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</si>
  <si>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</si>
  <si>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</si>
  <si>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</si>
  <si>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</si>
  <si>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</si>
  <si>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</si>
  <si>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</si>
  <si>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</si>
  <si>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</si>
  <si>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</si>
  <si>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</si>
  <si>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</si>
  <si>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</si>
  <si>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</si>
  <si>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</si>
  <si>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</si>
  <si>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</si>
  <si>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</si>
  <si>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</si>
  <si>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</si>
  <si>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</si>
  <si>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</si>
  <si>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</si>
  <si>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</si>
  <si>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</si>
  <si>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</si>
  <si>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</si>
  <si>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</si>
  <si>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</si>
  <si>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</si>
  <si>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</si>
  <si>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</si>
  <si>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</si>
  <si>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</si>
  <si>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</si>
  <si>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</si>
  <si>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</si>
  <si>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</si>
  <si>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</si>
  <si>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</si>
  <si>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</si>
  <si>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</si>
  <si>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</si>
  <si>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</si>
  <si>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</si>
  <si>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</si>
  <si>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</si>
  <si>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</si>
  <si>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</si>
  <si>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</si>
  <si>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</si>
  <si>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</si>
  <si>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</si>
  <si>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</si>
  <si>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</si>
  <si>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</si>
  <si>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</si>
  <si>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</si>
  <si>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</si>
  <si>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</si>
  <si>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</si>
  <si>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</si>
  <si>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</si>
  <si>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</si>
  <si>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</si>
  <si>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</si>
  <si>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</si>
  <si>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</si>
  <si>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</si>
  <si>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</si>
  <si>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</si>
  <si>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</si>
  <si>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</si>
  <si>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</si>
  <si>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</si>
  <si>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</si>
  <si>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</si>
  <si>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</si>
  <si>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</si>
  <si>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</si>
  <si>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</si>
  <si>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</si>
  <si>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</si>
  <si>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</si>
  <si>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</si>
  <si>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</si>
  <si>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</si>
  <si>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</si>
  <si>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</si>
  <si>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</si>
  <si>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</si>
  <si>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</si>
  <si>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</si>
  <si>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</si>
  <si>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</si>
  <si>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</si>
  <si>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</si>
  <si>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</si>
  <si>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</si>
  <si>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</si>
  <si>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</si>
  <si>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</si>
  <si>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</si>
  <si>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</si>
  <si>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</si>
  <si>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</si>
  <si>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</si>
  <si>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</si>
  <si>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</si>
  <si>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</si>
  <si>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</si>
  <si>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</si>
  <si>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</si>
  <si>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</si>
  <si>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</si>
  <si>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</si>
  <si>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</si>
  <si>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</si>
  <si>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</si>
  <si>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</si>
  <si>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</si>
  <si>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</si>
  <si>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</si>
  <si>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</si>
  <si>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</si>
  <si>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</si>
  <si>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</si>
  <si>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</si>
  <si>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</si>
  <si>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</si>
  <si>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</si>
  <si>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</si>
  <si>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</si>
  <si>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</si>
  <si>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</si>
  <si>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</si>
  <si>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</si>
  <si>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</si>
  <si>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</si>
  <si>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</si>
  <si>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</si>
  <si>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</si>
  <si>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</si>
  <si>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</si>
  <si>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</si>
  <si>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</si>
  <si>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</si>
  <si>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</si>
  <si>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</si>
  <si>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</si>
  <si>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</si>
  <si>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</si>
  <si>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</si>
  <si>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</si>
  <si>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</si>
  <si>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</si>
  <si>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</si>
  <si>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</si>
  <si>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</si>
  <si>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</si>
  <si>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</si>
  <si>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</si>
  <si>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</si>
  <si>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</si>
  <si>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</si>
  <si>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</si>
  <si>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</si>
  <si>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</si>
  <si>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</si>
  <si>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</si>
  <si>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</si>
  <si>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</si>
  <si>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</si>
  <si>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</si>
  <si>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</si>
  <si>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</si>
  <si>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</si>
  <si>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</si>
  <si>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</si>
  <si>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</si>
  <si>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</si>
  <si>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</si>
  <si>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</si>
  <si>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</si>
  <si>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</si>
  <si>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</si>
  <si>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</si>
  <si>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</si>
  <si>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</si>
  <si>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</si>
  <si>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</si>
  <si>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</si>
  <si>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</si>
  <si>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</si>
  <si>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</si>
  <si>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</si>
  <si>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</si>
  <si>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</si>
  <si>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</si>
  <si>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</si>
  <si>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</si>
  <si>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</si>
  <si>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</si>
  <si>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</si>
  <si>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</si>
  <si>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</si>
  <si>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</si>
  <si>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</si>
  <si>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</si>
  <si>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</si>
  <si>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</si>
  <si>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</si>
  <si>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</si>
  <si>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</si>
  <si>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</si>
  <si>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</si>
  <si>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</si>
  <si>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</si>
  <si>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</si>
  <si>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</si>
  <si>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</si>
  <si>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</si>
  <si>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</si>
  <si>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</si>
  <si>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</si>
  <si>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</si>
  <si>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</si>
  <si>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</si>
  <si>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</si>
  <si>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</si>
  <si>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</si>
  <si>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</si>
  <si>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</si>
  <si>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</si>
  <si>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</si>
  <si>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</si>
  <si>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</si>
  <si>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</si>
  <si>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</si>
  <si>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</si>
  <si>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</si>
  <si>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</si>
  <si>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</si>
  <si>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</si>
  <si>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</si>
  <si>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</si>
  <si>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</si>
  <si>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</si>
  <si>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</si>
  <si>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</si>
  <si>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</si>
  <si>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</si>
  <si>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</si>
  <si>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</si>
  <si>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</si>
  <si>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</si>
  <si>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</si>
  <si>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</si>
  <si>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</si>
  <si>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</si>
  <si>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</si>
  <si>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</si>
  <si>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</si>
  <si>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</si>
  <si>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</si>
  <si>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</si>
  <si>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</si>
  <si>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</si>
  <si>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</si>
  <si>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</si>
  <si>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</si>
  <si>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</si>
  <si>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</si>
  <si>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</si>
  <si>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</si>
  <si>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</si>
  <si>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</si>
  <si>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</si>
  <si>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</si>
  <si>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</si>
  <si>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</si>
  <si>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</si>
  <si>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</si>
  <si>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</si>
  <si>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</si>
  <si>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</si>
  <si>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</si>
  <si>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</si>
  <si>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</si>
  <si>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</si>
  <si>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</si>
  <si>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</si>
  <si>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</si>
  <si>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</si>
  <si>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</si>
  <si>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</si>
  <si>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</si>
  <si>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</si>
  <si>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</si>
  <si>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</si>
  <si>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</si>
  <si>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</si>
  <si>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</si>
  <si>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</si>
  <si>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</si>
  <si>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</si>
  <si>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</si>
  <si>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</si>
  <si>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</si>
  <si>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</si>
  <si>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</si>
  <si>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</si>
  <si>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</si>
  <si>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</si>
  <si>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</si>
  <si>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</si>
  <si>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</si>
  <si>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</si>
  <si>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</si>
  <si>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</si>
  <si>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</si>
  <si>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</si>
  <si>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</si>
  <si>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</si>
  <si>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</si>
  <si>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</si>
  <si>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</si>
  <si>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</si>
  <si>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</si>
  <si>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</si>
  <si>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</si>
  <si>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</si>
  <si>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</si>
  <si>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</si>
  <si>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</si>
  <si>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</si>
  <si>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</si>
  <si>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</si>
  <si>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</si>
  <si>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</si>
  <si>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</si>
  <si>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</si>
  <si>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</si>
  <si>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</si>
  <si>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</si>
  <si>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</si>
  <si>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</si>
  <si>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</si>
  <si>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</si>
  <si>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</si>
  <si>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</si>
  <si>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</si>
  <si>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</si>
  <si>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</si>
  <si>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</si>
  <si>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</si>
  <si>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</si>
  <si>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</si>
  <si>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</si>
  <si>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</si>
  <si>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</si>
  <si>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</si>
  <si>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</si>
  <si>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</si>
  <si>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</si>
  <si>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</si>
  <si>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</si>
  <si>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</si>
  <si>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</si>
  <si>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</si>
  <si>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</si>
  <si>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</si>
  <si>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</si>
  <si>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</si>
  <si>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</si>
  <si>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</si>
  <si>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</si>
  <si>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</si>
  <si>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</si>
  <si>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</si>
  <si>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</si>
  <si>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</si>
  <si>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</si>
  <si>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</si>
  <si>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</si>
  <si>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</si>
  <si>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</si>
  <si>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</si>
  <si>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</si>
  <si>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</si>
  <si>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</si>
  <si>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</si>
  <si>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</si>
  <si>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</si>
  <si>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</si>
  <si>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</si>
  <si>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</si>
  <si>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</si>
  <si>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</si>
  <si>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</si>
  <si>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</si>
  <si>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</si>
  <si>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</si>
  <si>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</si>
  <si>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</si>
  <si>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</si>
  <si>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</si>
  <si>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</si>
  <si>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</si>
  <si>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</si>
  <si>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</si>
  <si>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</si>
  <si>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</si>
  <si>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</si>
  <si>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</si>
  <si>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</si>
  <si>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</si>
  <si>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</si>
  <si>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</si>
  <si>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</si>
  <si>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</si>
  <si>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</si>
  <si>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</si>
  <si>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</si>
  <si>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</si>
  <si>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</si>
  <si>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</si>
  <si>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</si>
  <si>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</si>
  <si>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</si>
  <si>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</si>
  <si>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</si>
  <si>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</si>
  <si>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</si>
  <si>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</si>
  <si>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</si>
  <si>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</si>
  <si>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</si>
  <si>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</si>
  <si>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</si>
  <si>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</si>
  <si>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</si>
  <si>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</si>
  <si>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</si>
  <si>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</si>
  <si>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</si>
  <si>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</si>
  <si>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</si>
  <si>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</si>
  <si>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</si>
  <si>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</si>
  <si>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</si>
  <si>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</si>
  <si>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</si>
  <si>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</si>
  <si>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</si>
  <si>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</si>
  <si>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</si>
  <si>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</si>
  <si>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</si>
  <si>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</si>
  <si>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</si>
  <si>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</si>
  <si>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</si>
  <si>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</si>
  <si>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</si>
  <si>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</si>
  <si>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</si>
  <si>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</si>
  <si>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</si>
  <si>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</si>
  <si>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</si>
  <si>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</si>
  <si>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</si>
  <si>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</si>
  <si>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</si>
  <si>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</si>
  <si>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</si>
  <si>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</si>
  <si>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</si>
  <si>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</si>
  <si>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</si>
  <si>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</si>
  <si>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</si>
  <si>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</si>
  <si>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</si>
  <si>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</si>
  <si>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</si>
  <si>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</si>
  <si>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</si>
  <si>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</si>
  <si>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</si>
  <si>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</si>
  <si>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</si>
  <si>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</si>
  <si>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</si>
  <si>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</si>
  <si>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</si>
  <si>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</si>
  <si>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</si>
  <si>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</si>
  <si>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</si>
  <si>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</si>
  <si>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</si>
  <si>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</si>
  <si>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</si>
  <si>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</si>
  <si>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</si>
  <si>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</si>
  <si>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</si>
  <si>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</si>
  <si>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</si>
  <si>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</si>
  <si>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</si>
  <si>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</si>
  <si>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</si>
  <si>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</si>
  <si>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</si>
  <si>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</si>
  <si>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</si>
  <si>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</si>
  <si>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</si>
  <si>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</si>
  <si>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</si>
  <si>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</si>
  <si>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</si>
  <si>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</si>
  <si>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</si>
  <si>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</si>
  <si>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</si>
  <si>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</si>
  <si>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</si>
  <si>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</si>
  <si>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</si>
  <si>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</si>
  <si>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</si>
  <si>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</si>
  <si>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</si>
  <si>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</si>
  <si>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</si>
  <si>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</si>
  <si>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</si>
  <si>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</si>
  <si>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</si>
  <si>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</si>
  <si>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</si>
  <si>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</si>
  <si>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</si>
  <si>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</si>
  <si>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</si>
  <si>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</si>
  <si>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</si>
  <si>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</si>
  <si>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</si>
  <si>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</si>
  <si>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</si>
  <si>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</si>
  <si>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</si>
  <si>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</si>
  <si>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</si>
  <si>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</si>
  <si>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</si>
  <si>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</si>
  <si>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</si>
  <si>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</si>
  <si>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</si>
  <si>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</si>
  <si>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</si>
  <si>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</si>
  <si>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</si>
  <si>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</si>
  <si>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</si>
  <si>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</si>
  <si>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</si>
  <si>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</si>
  <si>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</si>
  <si>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</si>
  <si>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</si>
  <si>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</si>
  <si>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</si>
  <si>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</si>
  <si>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</si>
  <si>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</si>
  <si>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</si>
  <si>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</si>
  <si>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</si>
  <si>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</si>
  <si>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</si>
  <si>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</si>
  <si>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</si>
  <si>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</si>
  <si>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</si>
  <si>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</si>
  <si>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</si>
  <si>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</si>
  <si>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</si>
  <si>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</si>
  <si>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</si>
  <si>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</si>
  <si>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</si>
  <si>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</si>
  <si>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</si>
  <si>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</si>
  <si>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</si>
  <si>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</si>
  <si>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</si>
  <si>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</si>
  <si>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</si>
  <si>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</si>
  <si>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</si>
  <si>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</si>
  <si>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</si>
  <si>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</si>
  <si>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</si>
  <si>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</si>
  <si>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</si>
  <si>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</si>
  <si>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</si>
  <si>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</si>
  <si>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</si>
  <si>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</si>
  <si>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</si>
  <si>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</si>
  <si>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</si>
  <si>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</si>
  <si>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</si>
  <si>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</si>
  <si>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</si>
  <si>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</si>
  <si>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</si>
  <si>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</si>
  <si>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</si>
  <si>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</si>
  <si>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</si>
  <si>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</si>
  <si>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</si>
  <si>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</si>
  <si>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</si>
  <si>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</si>
  <si>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</si>
  <si>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</si>
  <si>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</si>
  <si>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</si>
  <si>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</si>
  <si>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</si>
  <si>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</si>
  <si>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</si>
  <si>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</si>
  <si>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</si>
  <si>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</si>
  <si>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</si>
  <si>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</si>
  <si>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</si>
  <si>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</si>
  <si>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</si>
  <si>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</si>
  <si>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</si>
  <si>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</si>
  <si>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</si>
  <si>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</si>
  <si>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</si>
  <si>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</si>
  <si>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</si>
  <si>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</si>
  <si>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</si>
  <si>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</si>
  <si>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</si>
  <si>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</si>
  <si>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</si>
  <si>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</si>
  <si>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</si>
  <si>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</si>
  <si>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</si>
  <si>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</si>
  <si>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</si>
  <si>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</si>
  <si>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</si>
  <si>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</si>
  <si>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</si>
  <si>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</si>
  <si>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</si>
  <si>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</si>
  <si>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</si>
  <si>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</si>
  <si>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</si>
  <si>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</si>
  <si>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</si>
  <si>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</si>
  <si>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</si>
  <si>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</si>
  <si>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</si>
  <si>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</si>
  <si>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</si>
  <si>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</si>
  <si>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</si>
  <si>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</si>
  <si>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</si>
  <si>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</si>
  <si>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</si>
  <si>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</si>
  <si>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</si>
  <si>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</si>
  <si>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</si>
  <si>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</si>
  <si>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</si>
  <si>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</si>
  <si>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</si>
  <si>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</si>
  <si>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</si>
  <si>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</si>
  <si>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</si>
  <si>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</si>
  <si>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</si>
  <si>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</si>
  <si>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</si>
  <si>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</si>
  <si>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</si>
  <si>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</si>
  <si>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</si>
  <si>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</si>
  <si>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</si>
  <si>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</si>
  <si>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</si>
  <si>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</si>
  <si>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</si>
  <si>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</si>
  <si>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</si>
  <si>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</si>
  <si>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</si>
  <si>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</si>
  <si>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</si>
  <si>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</si>
  <si>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</si>
  <si>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</si>
  <si>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</si>
  <si>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</si>
  <si>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</si>
  <si>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</si>
  <si>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</si>
  <si>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</si>
  <si>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</si>
  <si>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</si>
  <si>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</si>
  <si>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</si>
  <si>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</si>
  <si>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</si>
  <si>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</si>
  <si>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</si>
  <si>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</si>
  <si>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</si>
  <si>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</si>
  <si>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</si>
  <si>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</si>
  <si>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</si>
  <si>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</si>
  <si>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</si>
  <si>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</si>
  <si>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</si>
  <si>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</si>
  <si>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</si>
  <si>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</si>
  <si>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</si>
  <si>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</si>
  <si>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</si>
  <si>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</si>
  <si>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</si>
  <si>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</si>
  <si>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</si>
  <si>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</si>
  <si>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</si>
  <si>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</si>
  <si>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</si>
  <si>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</si>
  <si>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</si>
  <si>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</si>
  <si>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</si>
  <si>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</si>
  <si>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</si>
  <si>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</si>
  <si>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</si>
  <si>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</si>
  <si>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</si>
  <si>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</si>
  <si>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</si>
  <si>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</si>
  <si>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</si>
  <si>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</si>
  <si>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</si>
  <si>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</si>
  <si>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</si>
  <si>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</si>
  <si>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</si>
  <si>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</si>
  <si>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</si>
  <si>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</si>
  <si>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</si>
  <si>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</si>
  <si>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</si>
  <si>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</si>
  <si>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</si>
  <si>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</si>
  <si>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</si>
  <si>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</si>
  <si>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</si>
  <si>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</si>
  <si>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</si>
  <si>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</si>
  <si>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</si>
  <si>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</si>
  <si>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</si>
  <si>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</si>
  <si>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</si>
  <si>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</si>
  <si>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</si>
  <si>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</si>
  <si>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</si>
  <si>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</si>
  <si>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</si>
  <si>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</si>
  <si>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</si>
  <si>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</si>
  <si>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</si>
  <si>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</si>
  <si>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</si>
  <si>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</si>
  <si>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</si>
  <si>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</si>
  <si>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</si>
  <si>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</si>
  <si>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</si>
  <si>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</si>
  <si>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</si>
  <si>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</si>
  <si>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</si>
  <si>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</si>
  <si>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</si>
  <si>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</si>
  <si>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</si>
  <si>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</si>
  <si>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</si>
  <si>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</si>
  <si>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</si>
  <si>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</si>
  <si>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</si>
  <si>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</si>
  <si>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</si>
  <si>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</si>
  <si>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</si>
  <si>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</si>
  <si>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</si>
  <si>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</si>
  <si>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</si>
  <si>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</si>
  <si>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</si>
  <si>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</si>
  <si>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</si>
  <si>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</si>
  <si>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</si>
  <si>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</si>
  <si>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</si>
  <si>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</si>
  <si>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</si>
  <si>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</si>
  <si>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</si>
  <si>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</si>
  <si>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</si>
  <si>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</si>
  <si>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</si>
  <si>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</si>
  <si>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</si>
  <si>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</si>
  <si>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</si>
  <si>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</si>
  <si>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</si>
  <si>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</si>
  <si>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</si>
  <si>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</si>
  <si>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</si>
  <si>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</si>
  <si>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</si>
  <si>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</si>
  <si>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</si>
  <si>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</si>
  <si>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</si>
  <si>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</si>
  <si>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</si>
  <si>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</si>
  <si>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</si>
  <si>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</si>
  <si>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</si>
  <si>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</si>
  <si>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</si>
  <si>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</si>
  <si>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</si>
  <si>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</si>
  <si>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</si>
  <si>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</si>
  <si>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</si>
  <si>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</si>
  <si>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</si>
  <si>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</si>
  <si>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</si>
  <si>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</si>
  <si>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</si>
  <si>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</si>
  <si>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</si>
  <si>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</si>
  <si>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</si>
  <si>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</si>
  <si>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</si>
  <si>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</si>
  <si>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</si>
  <si>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</si>
  <si>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</si>
  <si>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</si>
  <si>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</si>
  <si>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</si>
  <si>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</si>
  <si>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</si>
  <si>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</si>
  <si>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</si>
  <si>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</si>
  <si>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</si>
  <si>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</si>
  <si>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</si>
  <si>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</si>
  <si>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</si>
  <si>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</si>
  <si>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</si>
  <si>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</si>
  <si>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</si>
  <si>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</si>
  <si>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</si>
  <si>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</si>
  <si>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</si>
  <si>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</si>
  <si>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</si>
  <si>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</si>
  <si>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</si>
  <si>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</si>
  <si>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</si>
  <si>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</si>
  <si>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</si>
  <si>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</si>
  <si>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</si>
  <si>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</si>
  <si>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</si>
  <si>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</si>
  <si>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</si>
  <si>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</si>
  <si>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</si>
  <si>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</si>
  <si>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</si>
  <si>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</si>
  <si>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</si>
  <si>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</si>
  <si>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</si>
  <si>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</si>
  <si>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</si>
  <si>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</si>
  <si>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</si>
  <si>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</si>
  <si>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</si>
  <si>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</si>
  <si>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</si>
  <si>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</si>
  <si>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</si>
  <si>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</si>
  <si>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</si>
  <si>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</si>
  <si>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</si>
  <si>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</si>
  <si>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</si>
  <si>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</si>
  <si>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</si>
  <si>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</si>
  <si>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</si>
  <si>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</si>
  <si>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</si>
  <si>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</si>
  <si>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</si>
  <si>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</si>
  <si>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</si>
  <si>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</si>
  <si>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</si>
  <si>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</si>
  <si>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</si>
  <si>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</si>
  <si>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</si>
  <si>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</si>
  <si>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</si>
  <si>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</si>
  <si>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</si>
  <si>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</si>
  <si>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</si>
  <si>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</si>
  <si>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</si>
  <si>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</si>
  <si>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</si>
  <si>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</si>
  <si>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</si>
  <si>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</si>
  <si>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</si>
  <si>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</si>
  <si>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</si>
  <si>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</si>
  <si>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</si>
  <si>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</si>
  <si>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</si>
  <si>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</si>
  <si>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</si>
  <si>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</si>
  <si>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</si>
  <si>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</si>
  <si>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</si>
  <si>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</si>
  <si>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</si>
  <si>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</si>
  <si>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</si>
  <si>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</si>
  <si>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</si>
  <si>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</si>
  <si>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</si>
  <si>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</si>
  <si>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</si>
  <si>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</si>
  <si>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</si>
  <si>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</si>
  <si>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</si>
  <si>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</si>
  <si>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</si>
  <si>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</si>
  <si>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</si>
  <si>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</si>
  <si>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</si>
  <si>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</si>
  <si>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</si>
  <si>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</si>
  <si>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</si>
  <si>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</si>
  <si>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</si>
  <si>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</si>
  <si>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</si>
  <si>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</si>
  <si>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</si>
  <si>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</si>
  <si>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</si>
  <si>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</si>
  <si>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</si>
  <si>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</si>
  <si>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</si>
  <si>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</si>
  <si>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</si>
  <si>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</si>
  <si>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</si>
  <si>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</si>
  <si>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</si>
  <si>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</si>
  <si>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</si>
  <si>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</si>
  <si>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</si>
  <si>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</si>
  <si>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</si>
  <si>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</si>
  <si>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</si>
  <si>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</si>
  <si>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</si>
  <si>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</si>
  <si>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</si>
  <si>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</si>
  <si>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</si>
  <si>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</si>
  <si>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</si>
  <si>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</si>
  <si>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</si>
  <si>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</si>
  <si>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</si>
  <si>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</si>
  <si>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</si>
  <si>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</si>
  <si>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</si>
  <si>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</si>
  <si>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</si>
  <si>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</si>
  <si>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</si>
  <si>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</si>
  <si>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</si>
  <si>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</si>
  <si>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</si>
  <si>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</si>
  <si>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</si>
  <si>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</si>
  <si>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</si>
  <si>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</si>
  <si>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</si>
  <si>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</si>
  <si>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</si>
  <si>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</si>
  <si>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</si>
  <si>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</si>
  <si>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</si>
  <si>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</si>
  <si>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</si>
  <si>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</si>
  <si>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</si>
  <si>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</si>
  <si>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</si>
  <si>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</si>
  <si>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</si>
  <si>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</si>
  <si>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</si>
  <si>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</si>
  <si>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</si>
  <si>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</si>
  <si>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</si>
  <si>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</si>
  <si>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</si>
  <si>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</si>
  <si>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</si>
  <si>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</si>
  <si>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</si>
  <si>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</si>
  <si>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</si>
  <si>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</si>
  <si>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</si>
  <si>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</si>
  <si>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</si>
  <si>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</si>
  <si>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</si>
  <si>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</si>
  <si>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</si>
  <si>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</si>
  <si>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</si>
  <si>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</si>
  <si>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</si>
  <si>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</si>
  <si>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</si>
  <si>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</si>
  <si>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</si>
  <si>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</si>
  <si>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</si>
  <si>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</si>
  <si>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</si>
  <si>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</si>
  <si>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</si>
  <si>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</si>
  <si>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</si>
  <si>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</si>
  <si>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</si>
  <si>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</si>
  <si>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</si>
  <si>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</si>
  <si>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</si>
  <si>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</si>
  <si>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</si>
  <si>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</si>
  <si>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</si>
  <si>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</si>
  <si>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</si>
  <si>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</si>
  <si>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</si>
  <si>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</si>
  <si>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</si>
  <si>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</si>
  <si>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</si>
  <si>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</si>
  <si>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</si>
  <si>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</si>
  <si>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</si>
  <si>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</si>
  <si>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</si>
  <si>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</si>
  <si>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</si>
  <si>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</si>
  <si>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</si>
  <si>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</si>
  <si>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</si>
  <si>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</si>
  <si>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</si>
  <si>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</si>
  <si>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</si>
  <si>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</si>
  <si>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</si>
  <si>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</si>
  <si>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</si>
  <si>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</si>
  <si>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</si>
  <si>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</si>
  <si>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</si>
  <si>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</si>
  <si>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</si>
  <si>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</si>
  <si>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</si>
  <si>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</si>
  <si>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</si>
  <si>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</si>
  <si>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</si>
  <si>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</si>
  <si>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</si>
  <si>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</si>
  <si>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</si>
  <si>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</si>
  <si>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</si>
  <si>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</si>
  <si>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</si>
  <si>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</si>
  <si>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</si>
  <si>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</si>
  <si>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</si>
  <si>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</si>
  <si>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</si>
  <si>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</si>
  <si>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</si>
  <si>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</si>
  <si>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</si>
  <si>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</si>
  <si>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</si>
  <si>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</si>
  <si>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</si>
  <si>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</si>
  <si>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</si>
  <si>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</si>
  <si>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</si>
  <si>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</si>
  <si>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</si>
  <si>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</si>
  <si>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</si>
  <si>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</si>
  <si>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</si>
  <si>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</si>
  <si>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</si>
  <si>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</si>
  <si>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</si>
  <si>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</si>
  <si>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</si>
  <si>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</si>
  <si>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</si>
  <si>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</si>
  <si>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</si>
  <si>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</si>
  <si>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</si>
  <si>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</si>
  <si>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</si>
  <si>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</si>
  <si>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</si>
  <si>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</si>
  <si>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</si>
  <si>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</si>
  <si>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</si>
  <si>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</si>
  <si>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</si>
  <si>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</si>
  <si>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</si>
  <si>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</si>
  <si>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</si>
  <si>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</si>
  <si>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</si>
  <si>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</si>
  <si>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</si>
  <si>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</si>
  <si>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</si>
  <si>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</si>
  <si>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</si>
  <si>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</si>
  <si>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</si>
  <si>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</si>
  <si>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</si>
  <si>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</si>
  <si>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</si>
  <si>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</si>
  <si>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</si>
  <si>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</si>
  <si>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</si>
  <si>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</si>
  <si>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</si>
  <si>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</si>
  <si>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</si>
  <si>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</si>
  <si>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</si>
  <si>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</si>
  <si>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</si>
  <si>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</si>
  <si>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</si>
  <si>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</si>
  <si>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</si>
  <si>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</si>
  <si>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</si>
  <si>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</si>
  <si>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</si>
  <si>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</si>
  <si>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</si>
  <si>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</si>
  <si>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</si>
  <si>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</si>
  <si>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</si>
  <si>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</si>
  <si>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</si>
  <si>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</si>
  <si>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</si>
  <si>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</si>
  <si>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</si>
  <si>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</si>
  <si>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</si>
  <si>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</si>
  <si>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</si>
  <si>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</si>
  <si>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</si>
  <si>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</si>
  <si>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</si>
  <si>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</si>
  <si>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</si>
  <si>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</si>
  <si>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</si>
  <si>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</si>
  <si>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</si>
  <si>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</si>
  <si>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</si>
  <si>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</si>
  <si>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</si>
  <si>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</si>
  <si>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</si>
  <si>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</si>
  <si>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</si>
  <si>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</si>
  <si>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</si>
  <si>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</si>
  <si>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</si>
  <si>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</si>
  <si>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</si>
  <si>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</si>
  <si>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</si>
  <si>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</si>
  <si>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</si>
  <si>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</si>
  <si>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</si>
  <si>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</si>
  <si>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</si>
  <si>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</si>
  <si>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</si>
  <si>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</si>
  <si>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</si>
  <si>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</si>
  <si>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</si>
  <si>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</si>
  <si>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</si>
  <si>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</si>
  <si>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</si>
  <si>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</si>
  <si>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</si>
  <si>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</si>
  <si>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</si>
  <si>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</si>
  <si>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</si>
  <si>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</si>
  <si>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</si>
  <si>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</si>
  <si>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</si>
  <si>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</si>
  <si>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</si>
  <si>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</si>
  <si>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</si>
  <si>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</si>
  <si>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</si>
  <si>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</si>
  <si>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</si>
  <si>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</si>
  <si>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</si>
  <si>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</si>
  <si>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</si>
  <si>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</si>
  <si>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</si>
  <si>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</si>
  <si>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</si>
  <si>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</si>
  <si>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</si>
  <si>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</si>
  <si>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</si>
  <si>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</si>
  <si>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</si>
  <si>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</si>
  <si>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</si>
  <si>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</si>
  <si>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</si>
  <si>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</si>
  <si>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</si>
  <si>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</si>
  <si>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</si>
  <si>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</si>
  <si>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</si>
  <si>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</si>
  <si>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</si>
  <si>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</si>
  <si>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</si>
  <si>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</si>
  <si>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</si>
  <si>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</si>
  <si>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</si>
  <si>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</si>
  <si>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</si>
  <si>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</si>
  <si>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</si>
  <si>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</si>
  <si>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</si>
  <si>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</si>
  <si>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</si>
  <si>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</si>
  <si>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</si>
  <si>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</si>
  <si>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</si>
  <si>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</si>
  <si>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</si>
  <si>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</si>
  <si>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</si>
  <si>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</si>
  <si>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</si>
  <si>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</si>
  <si>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</si>
  <si>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</si>
  <si>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</si>
  <si>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</si>
  <si>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</si>
  <si>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</si>
  <si>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</si>
  <si>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</si>
  <si>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</si>
  <si>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</si>
  <si>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</si>
  <si>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</si>
  <si>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</si>
  <si>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</si>
  <si>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</si>
  <si>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</si>
  <si>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</si>
  <si>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</si>
  <si>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</si>
  <si>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</si>
  <si>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</si>
  <si>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</si>
  <si>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</si>
  <si>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</si>
  <si>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</si>
  <si>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</si>
  <si>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</si>
  <si>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</si>
  <si>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</si>
  <si>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</si>
  <si>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</si>
  <si>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</si>
  <si>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</si>
  <si>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</si>
  <si>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</si>
  <si>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</si>
  <si>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</si>
  <si>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</si>
  <si>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</si>
  <si>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</si>
  <si>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</si>
  <si>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</si>
  <si>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</si>
  <si>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</si>
  <si>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</si>
  <si>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</si>
  <si>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</si>
  <si>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</si>
  <si>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</si>
  <si>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</si>
  <si>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</si>
  <si>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</si>
  <si>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</si>
  <si>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</si>
  <si>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</si>
  <si>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</si>
  <si>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</si>
  <si>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</si>
  <si>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</si>
  <si>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</si>
  <si>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</si>
  <si>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</si>
  <si>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</si>
  <si>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</si>
  <si>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</si>
  <si>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</si>
  <si>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</si>
  <si>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</si>
  <si>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</si>
  <si>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</si>
  <si>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</si>
  <si>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</si>
  <si>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</si>
  <si>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</si>
  <si>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</si>
  <si>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</si>
  <si>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</si>
  <si>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</si>
  <si>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</si>
  <si>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</si>
  <si>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</si>
  <si>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</si>
  <si>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</si>
  <si>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</si>
  <si>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</si>
  <si>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</si>
  <si>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</si>
  <si>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</si>
  <si>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</si>
  <si>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</si>
  <si>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</si>
  <si>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</si>
  <si>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</si>
  <si>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</si>
  <si>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</si>
  <si>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</si>
  <si>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</si>
  <si>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</si>
  <si>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</si>
  <si>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</si>
  <si>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</si>
  <si>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</si>
  <si>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</si>
  <si>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</si>
  <si>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</si>
  <si>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</si>
  <si>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</si>
  <si>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</si>
  <si>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</si>
  <si>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</si>
  <si>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</si>
  <si>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</si>
  <si>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</si>
  <si>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</si>
  <si>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</si>
  <si>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</si>
  <si>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</si>
  <si>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</si>
  <si>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</si>
  <si>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</si>
  <si>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</si>
  <si>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</si>
  <si>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</si>
  <si>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</si>
  <si>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</si>
  <si>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</si>
  <si>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</si>
  <si>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</si>
  <si>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</si>
  <si>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</si>
  <si>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</si>
  <si>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</si>
  <si>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</si>
  <si>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</si>
  <si>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</si>
  <si>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</si>
  <si>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</si>
  <si>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</si>
  <si>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</si>
  <si>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</si>
  <si>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</si>
  <si>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</si>
  <si>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</si>
  <si>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</si>
  <si>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</si>
  <si>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</si>
  <si>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</si>
  <si>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</si>
  <si>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</si>
  <si>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</si>
  <si>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</si>
  <si>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</si>
  <si>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</si>
  <si>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</si>
  <si>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</si>
  <si>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</si>
  <si>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</si>
  <si>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</si>
  <si>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</si>
  <si>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</si>
  <si>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</si>
  <si>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</si>
  <si>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</si>
  <si>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</si>
  <si>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</si>
  <si>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</si>
  <si>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</si>
  <si>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</si>
  <si>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</si>
  <si>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</si>
  <si>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</si>
  <si>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</si>
  <si>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</si>
  <si>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</si>
  <si>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</si>
  <si>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</si>
  <si>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</si>
  <si>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</si>
  <si>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</si>
  <si>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</si>
  <si>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</si>
  <si>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</si>
  <si>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</si>
  <si>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</si>
  <si>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</si>
  <si>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</si>
  <si>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</si>
  <si>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</si>
  <si>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</si>
  <si>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</si>
  <si>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</si>
  <si>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</si>
  <si>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</si>
  <si>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</si>
  <si>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</si>
  <si>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</si>
  <si>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</si>
  <si>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</si>
  <si>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</si>
  <si>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</si>
  <si>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</si>
  <si>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</si>
  <si>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</si>
  <si>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</si>
  <si>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</si>
  <si>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</si>
  <si>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</si>
  <si>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</si>
  <si>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</si>
  <si>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</si>
  <si>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</si>
  <si>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</si>
  <si>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</si>
  <si>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</si>
  <si>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</si>
  <si>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</si>
  <si>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</si>
  <si>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</si>
  <si>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</si>
  <si>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</si>
  <si>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</si>
  <si>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</si>
  <si>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</si>
  <si>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</si>
  <si>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</si>
  <si>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</si>
  <si>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</si>
  <si>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</si>
  <si>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</si>
  <si>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</si>
  <si>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</si>
  <si>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</si>
  <si>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</si>
  <si>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</si>
  <si>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</si>
  <si>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</si>
  <si>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</si>
  <si>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</si>
  <si>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</si>
  <si>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</si>
  <si>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</si>
  <si>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</si>
  <si>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</si>
  <si>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</si>
  <si>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</si>
  <si>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</si>
  <si>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</si>
  <si>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</si>
  <si>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</si>
  <si>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</si>
  <si>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</si>
  <si>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</si>
  <si>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</si>
  <si>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</si>
  <si>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</si>
  <si>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</si>
  <si>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</si>
  <si>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</si>
  <si>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</si>
  <si>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</si>
  <si>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</si>
  <si>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</si>
  <si>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</si>
  <si>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</si>
  <si>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</si>
  <si>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</si>
  <si>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</si>
  <si>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</si>
  <si>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</si>
  <si>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</si>
  <si>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</si>
  <si>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</si>
  <si>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</si>
  <si>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</si>
  <si>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</si>
  <si>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</si>
  <si>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</si>
  <si>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</si>
  <si>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</si>
  <si>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</si>
  <si>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</si>
  <si>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</si>
  <si>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</si>
  <si>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</si>
  <si>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</si>
  <si>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</si>
  <si>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</si>
  <si>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</si>
  <si>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</si>
  <si>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</si>
  <si>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</si>
  <si>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</si>
  <si>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</si>
  <si>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</si>
  <si>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</si>
  <si>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</si>
  <si>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</si>
  <si>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</si>
  <si>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</si>
  <si>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</si>
  <si>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</si>
  <si>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</si>
  <si>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</si>
  <si>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</si>
  <si>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</si>
  <si>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</si>
  <si>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</si>
  <si>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</si>
  <si>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</si>
  <si>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</si>
  <si>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</si>
  <si>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</si>
  <si>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</si>
  <si>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</si>
  <si>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</si>
  <si>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</si>
  <si>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</si>
  <si>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</si>
  <si>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</si>
  <si>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</si>
  <si>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</si>
  <si>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</si>
  <si>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</si>
  <si>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</si>
  <si>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</si>
  <si>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</si>
  <si>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</si>
  <si>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</si>
  <si>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</si>
  <si>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</si>
  <si>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</si>
  <si>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</si>
  <si>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</si>
  <si>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</si>
  <si>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</si>
  <si>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</si>
  <si>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</si>
  <si>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</si>
  <si>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</si>
  <si>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</si>
  <si>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</si>
  <si>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</si>
  <si>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</si>
  <si>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</si>
  <si>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</si>
  <si>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</si>
  <si>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</si>
  <si>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</si>
  <si>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</si>
  <si>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</si>
  <si>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</si>
  <si>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</si>
  <si>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</si>
  <si>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</si>
  <si>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</si>
  <si>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</si>
  <si>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</si>
  <si>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</si>
  <si>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</si>
  <si>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</si>
  <si>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</si>
  <si>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</si>
  <si>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</si>
  <si>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</si>
  <si>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</si>
  <si>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</si>
  <si>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</si>
  <si>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</si>
  <si>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</si>
  <si>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</si>
  <si>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</si>
  <si>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</si>
  <si>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</si>
  <si>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</si>
  <si>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</si>
  <si>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</si>
  <si>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</si>
  <si>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</si>
  <si>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</si>
  <si>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</si>
  <si>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</si>
  <si>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</si>
  <si>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</si>
  <si>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</si>
  <si>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</si>
  <si>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</si>
  <si>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</si>
  <si>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</si>
  <si>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</si>
  <si>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</si>
  <si>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</si>
  <si>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</si>
  <si>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</si>
  <si>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</si>
  <si>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</si>
  <si>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</si>
  <si>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</si>
  <si>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</si>
  <si>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</si>
  <si>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</si>
  <si>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</si>
  <si>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</si>
  <si>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</si>
  <si>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</si>
  <si>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</si>
  <si>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</si>
  <si>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</si>
  <si>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</si>
  <si>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</si>
  <si>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</si>
  <si>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</si>
  <si>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</si>
  <si>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</si>
  <si>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</si>
  <si>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</si>
  <si>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</si>
  <si>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</si>
  <si>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</si>
  <si>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</si>
  <si>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</si>
  <si>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</si>
  <si>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</si>
  <si>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</si>
  <si>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</si>
  <si>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</si>
  <si>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</si>
  <si>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</si>
  <si>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</si>
  <si>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</si>
  <si>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</si>
  <si>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</si>
  <si>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</si>
  <si>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</si>
  <si>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</si>
  <si>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</si>
  <si>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</si>
  <si>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</si>
  <si>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</si>
  <si>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</si>
  <si>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</si>
  <si>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</si>
  <si>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</si>
  <si>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</si>
  <si>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</si>
  <si>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</si>
  <si>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</si>
  <si>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</si>
  <si>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</si>
  <si>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</si>
  <si>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</si>
  <si>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</si>
  <si>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</si>
  <si>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</si>
  <si>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</si>
  <si>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</si>
  <si>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</si>
  <si>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</si>
  <si>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</si>
  <si>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</si>
  <si>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</si>
  <si>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</si>
  <si>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</si>
  <si>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</si>
  <si>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</si>
  <si>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</si>
  <si>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</si>
  <si>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</si>
  <si>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</si>
  <si>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</si>
  <si>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</si>
  <si>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</si>
  <si>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</si>
  <si>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</si>
  <si>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</si>
  <si>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</si>
  <si>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</si>
  <si>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</si>
  <si>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</si>
  <si>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</si>
  <si>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</si>
  <si>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</si>
  <si>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</si>
  <si>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</si>
  <si>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</si>
  <si>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</si>
  <si>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</si>
  <si>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</si>
  <si>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</si>
  <si>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</si>
  <si>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</si>
  <si>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</si>
  <si>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</si>
  <si>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</si>
  <si>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</si>
  <si>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</si>
  <si>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</si>
  <si>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</si>
  <si>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</si>
  <si>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</si>
  <si>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</si>
  <si>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</si>
  <si>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</si>
  <si>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</si>
  <si>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</si>
  <si>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</si>
  <si>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</si>
  <si>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</si>
  <si>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</si>
  <si>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</si>
  <si>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</si>
  <si>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</si>
  <si>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</si>
  <si>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</si>
  <si>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</si>
  <si>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</si>
  <si>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</si>
  <si>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</si>
  <si>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</si>
  <si>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</si>
  <si>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</si>
  <si>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</si>
  <si>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</si>
  <si>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</si>
  <si>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</si>
  <si>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</si>
  <si>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</si>
  <si>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</si>
  <si>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</si>
  <si>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</si>
  <si>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</si>
  <si>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</si>
  <si>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</si>
  <si>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</si>
  <si>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</si>
  <si>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</si>
  <si>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</si>
  <si>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</si>
  <si>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</si>
  <si>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</si>
  <si>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</si>
  <si>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</si>
  <si>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</si>
  <si>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</si>
  <si>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</si>
  <si>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</si>
  <si>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</si>
  <si>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</si>
  <si>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</si>
  <si>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</si>
  <si>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</si>
  <si>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</si>
  <si>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</si>
  <si>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</si>
  <si>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</si>
  <si>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</si>
  <si>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</si>
  <si>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</si>
  <si>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</si>
  <si>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</si>
  <si>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</si>
  <si>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</si>
  <si>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</si>
  <si>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</si>
  <si>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</si>
  <si>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</si>
  <si>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</si>
  <si>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</si>
  <si>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</si>
  <si>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</si>
  <si>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</si>
  <si>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</si>
  <si>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</si>
  <si>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</si>
  <si>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</si>
  <si>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</si>
  <si>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</si>
  <si>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</si>
  <si>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</si>
  <si>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</si>
  <si>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</si>
  <si>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</si>
  <si>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</si>
  <si>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</si>
  <si>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</si>
  <si>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</si>
  <si>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</si>
  <si>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</si>
  <si>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</si>
  <si>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</si>
  <si>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</si>
  <si>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</si>
  <si>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</si>
  <si>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</si>
  <si>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</si>
  <si>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</si>
  <si>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</si>
  <si>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</si>
  <si>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</si>
  <si>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</si>
  <si>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</si>
  <si>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</si>
  <si>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</si>
  <si>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</si>
  <si>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</si>
  <si>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</si>
  <si>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</si>
  <si>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</si>
  <si>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</si>
  <si>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</si>
  <si>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</si>
  <si>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</si>
  <si>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</si>
  <si>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</si>
  <si>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</si>
  <si>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</si>
  <si>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</si>
  <si>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</si>
  <si>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</si>
  <si>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</si>
  <si>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</si>
  <si>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</si>
  <si>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</si>
  <si>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</si>
  <si>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</si>
  <si>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</si>
  <si>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</si>
  <si>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</si>
  <si>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</si>
  <si>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</si>
  <si>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</si>
  <si>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</si>
  <si>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</si>
  <si>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</si>
  <si>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</si>
  <si>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</si>
  <si>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</si>
  <si>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</si>
  <si>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</si>
  <si>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</si>
  <si>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</si>
  <si>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</si>
  <si>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</si>
  <si>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</si>
  <si>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</si>
  <si>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</si>
  <si>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</si>
  <si>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</si>
  <si>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</si>
  <si>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</si>
  <si>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</si>
  <si>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</si>
  <si>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</si>
  <si>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</si>
  <si>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</si>
  <si>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</si>
  <si>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</si>
  <si>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</si>
  <si>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</si>
  <si>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</si>
  <si>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</si>
  <si>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</si>
  <si>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</si>
  <si>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</si>
  <si>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</si>
  <si>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</si>
  <si>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</si>
  <si>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</si>
  <si>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</si>
  <si>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</si>
  <si>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</si>
  <si>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</si>
  <si>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</si>
  <si>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</si>
  <si>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</si>
  <si>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</si>
  <si>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</si>
  <si>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</si>
  <si>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</si>
  <si>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</si>
  <si>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</si>
  <si>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</si>
  <si>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</si>
  <si>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</si>
  <si>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</si>
  <si>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</si>
  <si>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</si>
  <si>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</si>
  <si>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</si>
  <si>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</si>
  <si>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</si>
  <si>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</si>
  <si>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</si>
  <si>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</si>
  <si>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</si>
  <si>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</si>
  <si>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</si>
  <si>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</si>
  <si>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</si>
  <si>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</si>
  <si>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</si>
  <si>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</si>
  <si>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</si>
  <si>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</si>
  <si>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</si>
  <si>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</si>
  <si>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</si>
  <si>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</si>
  <si>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</si>
  <si>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</si>
  <si>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</si>
  <si>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</si>
  <si>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</si>
  <si>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</si>
  <si>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</si>
  <si>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</si>
  <si>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</si>
  <si>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</si>
  <si>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</si>
  <si>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</si>
  <si>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</si>
  <si>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</si>
  <si>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</si>
  <si>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</si>
  <si>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</si>
  <si>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</si>
  <si>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</si>
  <si>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</si>
  <si>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</si>
  <si>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</si>
  <si>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</si>
  <si>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</si>
  <si>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</si>
  <si>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</si>
  <si>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</si>
  <si>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</si>
  <si>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</si>
  <si>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</si>
  <si>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</si>
  <si>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</si>
  <si>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</si>
  <si>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</si>
  <si>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</si>
  <si>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</si>
  <si>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</si>
  <si>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</si>
  <si>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</si>
  <si>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</si>
  <si>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</si>
  <si>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</si>
  <si>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</si>
  <si>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</si>
  <si>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</si>
  <si>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</si>
  <si>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</si>
  <si>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</si>
  <si>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</si>
  <si>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</si>
  <si>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</si>
  <si>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</si>
  <si>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</si>
  <si>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</si>
  <si>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</si>
  <si>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</si>
  <si>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</si>
  <si>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</si>
  <si>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</si>
  <si>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</si>
  <si>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</si>
  <si>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</si>
  <si>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</si>
  <si>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</si>
  <si>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</si>
  <si>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</si>
  <si>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</si>
  <si>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</si>
  <si>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</si>
  <si>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</si>
  <si>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</si>
  <si>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</si>
  <si>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</si>
  <si>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</si>
  <si>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</si>
  <si>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</si>
  <si>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</si>
  <si>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</si>
  <si>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</si>
  <si>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</si>
  <si>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</si>
  <si>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</si>
  <si>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</si>
  <si>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</si>
  <si>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</si>
  <si>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</si>
  <si>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</si>
  <si>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</si>
  <si>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</si>
  <si>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</si>
  <si>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</si>
  <si>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</si>
  <si>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</si>
  <si>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</si>
  <si>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</si>
  <si>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</si>
  <si>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</si>
  <si>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</si>
  <si>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</si>
  <si>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</si>
  <si>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</si>
  <si>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</si>
  <si>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</si>
  <si>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</si>
  <si>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</si>
  <si>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</si>
  <si>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</si>
  <si>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</si>
  <si>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</si>
  <si>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</si>
  <si>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</si>
  <si>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</si>
  <si>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</si>
  <si>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</si>
  <si>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</si>
  <si>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</si>
  <si>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</si>
  <si>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</si>
  <si>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</si>
  <si>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</si>
  <si>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</si>
  <si>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</si>
  <si>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</si>
  <si>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</si>
  <si>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</si>
  <si>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</si>
  <si>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</si>
  <si>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</si>
  <si>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</si>
  <si>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</si>
  <si>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</si>
  <si>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</si>
  <si>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</si>
  <si>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</si>
  <si>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</si>
  <si>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</si>
  <si>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</si>
  <si>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</si>
  <si>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</si>
  <si>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</si>
  <si>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</si>
  <si>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</si>
  <si>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</si>
  <si>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</si>
  <si>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</si>
  <si>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</si>
  <si>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</si>
  <si>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</si>
  <si>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</si>
  <si>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</si>
  <si>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</si>
  <si>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</si>
  <si>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</si>
  <si>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</si>
  <si>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</si>
  <si>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</si>
  <si>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</si>
  <si>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</si>
  <si>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</si>
  <si>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</si>
  <si>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</si>
  <si>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</si>
  <si>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</si>
  <si>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</si>
  <si>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</si>
  <si>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</si>
  <si>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</si>
  <si>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</si>
  <si>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</si>
  <si>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</si>
  <si>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</si>
  <si>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</si>
  <si>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</si>
  <si>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</si>
  <si>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</si>
  <si>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</si>
  <si>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</si>
  <si>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</si>
  <si>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</si>
  <si>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</si>
  <si>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</si>
  <si>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</si>
  <si>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</si>
  <si>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</si>
  <si>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</si>
  <si>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</si>
  <si>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</si>
  <si>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</si>
  <si>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</si>
  <si>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</si>
  <si>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</si>
  <si>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</si>
  <si>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</si>
  <si>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</si>
  <si>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</si>
  <si>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</si>
  <si>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</si>
  <si>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</si>
  <si>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</si>
  <si>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</si>
  <si>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</si>
  <si>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</si>
  <si>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</si>
  <si>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</si>
  <si>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</si>
  <si>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</si>
  <si>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</si>
  <si>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</si>
  <si>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</si>
  <si>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</si>
  <si>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</si>
  <si>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</si>
  <si>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</si>
  <si>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</si>
  <si>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</si>
  <si>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</si>
  <si>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</si>
  <si>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</si>
  <si>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</si>
  <si>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</si>
  <si>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</si>
  <si>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</si>
  <si>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</si>
  <si>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</si>
  <si>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</si>
  <si>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</si>
  <si>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</si>
  <si>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</si>
  <si>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</si>
  <si>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</si>
  <si>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</si>
  <si>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</si>
  <si>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</si>
  <si>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</si>
  <si>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</si>
  <si>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</si>
  <si>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</si>
  <si>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</si>
  <si>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</si>
  <si>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</si>
  <si>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</si>
  <si>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</si>
  <si>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</si>
  <si>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</si>
  <si>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</si>
  <si>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</si>
  <si>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</si>
  <si>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</si>
  <si>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</si>
  <si>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</si>
  <si>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</si>
  <si>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</si>
  <si>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</si>
  <si>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</si>
  <si>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</si>
  <si>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</si>
  <si>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</si>
  <si>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</si>
  <si>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</si>
  <si>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</si>
  <si>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</si>
  <si>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</si>
  <si>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</si>
  <si>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</si>
  <si>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</si>
  <si>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</si>
  <si>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</si>
  <si>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</si>
  <si>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</si>
  <si>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</si>
  <si>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</si>
  <si>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</si>
  <si>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</si>
  <si>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</si>
  <si>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</si>
  <si>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</si>
  <si>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</si>
  <si>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</si>
  <si>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</si>
  <si>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</si>
  <si>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</si>
  <si>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</si>
  <si>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</si>
  <si>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</si>
  <si>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</si>
  <si>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</si>
  <si>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</si>
  <si>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</si>
  <si>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</si>
  <si>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</si>
  <si>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</si>
  <si>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</si>
  <si>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</si>
  <si>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</si>
  <si>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</si>
  <si>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</si>
  <si>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</si>
  <si>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</si>
  <si>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</si>
  <si>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</si>
  <si>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</si>
  <si>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</si>
  <si>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</si>
  <si>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</si>
  <si>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</si>
  <si>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</si>
  <si>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</si>
  <si>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</si>
  <si>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</si>
  <si>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</si>
  <si>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</si>
  <si>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</si>
  <si>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</si>
  <si>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</si>
  <si>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</si>
  <si>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</si>
  <si>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</si>
  <si>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</si>
  <si>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</si>
  <si>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</si>
  <si>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</si>
  <si>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</si>
  <si>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</si>
  <si>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</si>
  <si>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</si>
  <si>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</si>
  <si>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</si>
  <si>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</si>
  <si>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</si>
  <si>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</si>
  <si>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</si>
  <si>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</si>
  <si>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</si>
  <si>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</si>
  <si>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</si>
  <si>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</si>
  <si>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</si>
  <si>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</si>
  <si>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</si>
  <si>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</si>
  <si>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</si>
  <si>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</si>
  <si>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</si>
  <si>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</si>
  <si>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</si>
  <si>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</si>
  <si>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</si>
  <si>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</si>
  <si>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</si>
  <si>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</si>
  <si>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</si>
  <si>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</si>
  <si>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</si>
  <si>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</si>
  <si>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</si>
  <si>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</si>
  <si>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</si>
  <si>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</si>
  <si>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</si>
  <si>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</si>
  <si>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</si>
  <si>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</si>
  <si>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</si>
  <si>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</si>
  <si>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</si>
  <si>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</si>
  <si>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</si>
  <si>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</si>
  <si>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</si>
  <si>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</si>
  <si>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</si>
  <si>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</si>
  <si>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</si>
  <si>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</si>
  <si>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</si>
  <si>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</si>
  <si>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</si>
  <si>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</si>
  <si>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</si>
  <si>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</si>
  <si>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</si>
  <si>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</si>
  <si>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</si>
  <si>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</si>
  <si>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</si>
  <si>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</si>
  <si>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</si>
  <si>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</si>
  <si>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</si>
  <si>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</si>
  <si>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</si>
  <si>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</si>
  <si>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</si>
  <si>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</si>
  <si>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</si>
  <si>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</si>
  <si>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</si>
  <si>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</si>
  <si>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</si>
  <si>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</si>
  <si>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</si>
  <si>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</si>
  <si>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</si>
  <si>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</si>
  <si>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</si>
  <si>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</si>
  <si>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</si>
  <si>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</si>
  <si>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</si>
  <si>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</si>
  <si>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</si>
  <si>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</si>
  <si>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</si>
  <si>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</si>
  <si>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</si>
  <si>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</si>
  <si>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</si>
  <si>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</si>
  <si>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</si>
  <si>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</si>
  <si>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</si>
  <si>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</si>
  <si>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</si>
  <si>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</si>
  <si>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</si>
  <si>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</si>
  <si>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</si>
  <si>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</si>
  <si>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</si>
  <si>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</si>
  <si>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</si>
  <si>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</si>
  <si>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</si>
  <si>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</si>
  <si>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</si>
  <si>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</si>
  <si>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</si>
  <si>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</si>
  <si>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</si>
  <si>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</si>
  <si>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</si>
  <si>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</si>
  <si>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</si>
  <si>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</si>
  <si>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</si>
  <si>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</si>
  <si>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</si>
  <si>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</si>
  <si>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</si>
  <si>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</si>
  <si>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</si>
  <si>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</si>
  <si>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</si>
  <si>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</si>
  <si>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</si>
  <si>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</si>
  <si>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</si>
  <si>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</si>
  <si>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</si>
  <si>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</si>
  <si>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</si>
  <si>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</si>
  <si>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</si>
  <si>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</si>
  <si>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</si>
  <si>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</si>
  <si>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</si>
  <si>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</si>
  <si>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</si>
  <si>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</si>
  <si>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</si>
  <si>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</si>
  <si>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</si>
  <si>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</si>
  <si>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</si>
  <si>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</si>
  <si>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</si>
  <si>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</si>
  <si>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</si>
  <si>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</si>
  <si>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</si>
  <si>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</si>
  <si>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</si>
  <si>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</si>
  <si>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</si>
  <si>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</si>
  <si>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</si>
  <si>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</si>
  <si>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</si>
  <si>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</si>
  <si>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</si>
  <si>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</si>
  <si>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</si>
  <si>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</si>
  <si>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</si>
  <si>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</si>
  <si>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</si>
  <si>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</si>
  <si>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</si>
  <si>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</si>
  <si>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</si>
  <si>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</si>
  <si>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</si>
  <si>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</si>
  <si>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</si>
  <si>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</si>
  <si>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</si>
  <si>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</si>
  <si>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</si>
  <si>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</si>
  <si>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</si>
  <si>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</si>
  <si>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</si>
  <si>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</si>
  <si>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</si>
  <si>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</si>
  <si>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</si>
  <si>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</si>
  <si>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</si>
  <si>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</si>
  <si>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</si>
  <si>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</si>
  <si>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</si>
  <si>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</si>
  <si>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</si>
  <si>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</si>
  <si>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</si>
  <si>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</si>
  <si>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</si>
  <si>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</si>
  <si>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</si>
  <si>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</si>
  <si>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</si>
  <si>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</si>
  <si>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</si>
  <si>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</si>
  <si>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</si>
  <si>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</si>
  <si>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</si>
  <si>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</si>
  <si>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</si>
  <si>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</si>
  <si>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</si>
  <si>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</si>
  <si>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</si>
  <si>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</si>
  <si>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</si>
  <si>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</si>
  <si>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</si>
  <si>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</si>
  <si>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</si>
  <si>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</si>
  <si>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</si>
  <si>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</si>
  <si>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</si>
  <si>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</si>
  <si>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</si>
  <si>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</si>
  <si>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</si>
  <si>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</si>
  <si>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</si>
  <si>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</si>
  <si>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</si>
  <si>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</si>
  <si>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</si>
  <si>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</si>
  <si>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</si>
  <si>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</si>
  <si>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</si>
  <si>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</si>
  <si>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</si>
  <si>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</si>
  <si>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</si>
  <si>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</si>
  <si>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</si>
  <si>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</si>
  <si>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</si>
  <si>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</si>
  <si>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</si>
  <si>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</si>
  <si>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</si>
  <si>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</si>
  <si>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</si>
  <si>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</si>
  <si>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</si>
  <si>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</si>
  <si>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</si>
  <si>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</si>
  <si>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</si>
  <si>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</si>
  <si>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</si>
  <si>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</si>
  <si>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</si>
  <si>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</si>
  <si>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</si>
  <si>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</si>
  <si>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</si>
  <si>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</si>
  <si>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</si>
  <si>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</si>
  <si>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</si>
  <si>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</si>
  <si>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</si>
  <si>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</si>
  <si>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</si>
  <si>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</si>
  <si>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</si>
  <si>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</si>
  <si>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</si>
  <si>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</si>
  <si>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</si>
  <si>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</si>
  <si>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</si>
  <si>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</si>
  <si>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</si>
  <si>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</si>
  <si>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</si>
  <si>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</si>
  <si>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</si>
  <si>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</si>
  <si>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</si>
  <si>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</si>
  <si>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</si>
  <si>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</si>
  <si>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</si>
  <si>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</si>
  <si>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</si>
  <si>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</si>
  <si>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</si>
  <si>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</si>
  <si>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</si>
  <si>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</si>
  <si>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</si>
  <si>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</si>
  <si>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</si>
  <si>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</si>
  <si>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</si>
  <si>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</si>
  <si>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</si>
  <si>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</si>
  <si>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</si>
  <si>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</si>
  <si>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</si>
  <si>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</si>
  <si>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</si>
  <si>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</si>
  <si>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</si>
  <si>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</si>
  <si>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</si>
  <si>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</si>
  <si>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</si>
  <si>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</si>
  <si>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</si>
  <si>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</si>
  <si>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</si>
  <si>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</si>
  <si>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</si>
  <si>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</si>
  <si>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</si>
  <si>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</si>
  <si>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</si>
  <si>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</si>
  <si>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</si>
  <si>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</si>
  <si>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</si>
  <si>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</si>
  <si>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</si>
  <si>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</si>
  <si>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</si>
  <si>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</si>
  <si>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</si>
  <si>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</si>
  <si>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</si>
  <si>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</si>
  <si>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</si>
  <si>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</si>
  <si>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</si>
  <si>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</si>
  <si>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</si>
  <si>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</si>
  <si>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</si>
  <si>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</si>
  <si>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</si>
  <si>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</si>
  <si>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</si>
  <si>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</si>
  <si>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</si>
  <si>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</si>
  <si>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</si>
  <si>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</si>
  <si>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</si>
  <si>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</si>
  <si>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</si>
  <si>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</si>
  <si>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</si>
  <si>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</si>
  <si>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</si>
  <si>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</si>
  <si>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</si>
  <si>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</si>
  <si>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</si>
  <si>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</si>
  <si>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</si>
  <si>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</si>
  <si>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</si>
  <si>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</si>
  <si>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</si>
  <si>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</si>
  <si>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</si>
  <si>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</si>
  <si>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</si>
  <si>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</si>
  <si>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</si>
  <si>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</si>
  <si>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</si>
  <si>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</si>
  <si>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</si>
  <si>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</si>
  <si>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</si>
  <si>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</si>
  <si>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</si>
  <si>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</si>
  <si>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</si>
  <si>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</si>
  <si>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</si>
  <si>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</si>
  <si>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</si>
  <si>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</si>
  <si>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</si>
  <si>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</si>
  <si>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</si>
  <si>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</si>
  <si>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</si>
  <si>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</si>
  <si>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</si>
  <si>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</si>
  <si>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</si>
  <si>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</si>
  <si>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</si>
  <si>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</si>
  <si>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</si>
  <si>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</si>
  <si>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</si>
  <si>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</si>
  <si>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</si>
  <si>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</si>
  <si>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</si>
  <si>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</si>
  <si>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</si>
  <si>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</si>
  <si>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</si>
  <si>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</si>
  <si>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</si>
  <si>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</si>
  <si>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</si>
  <si>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</si>
  <si>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</si>
  <si>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</si>
  <si>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</si>
  <si>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</si>
  <si>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</si>
  <si>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</si>
  <si>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</si>
  <si>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</si>
  <si>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</si>
  <si>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</si>
  <si>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</si>
  <si>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</si>
  <si>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</si>
  <si>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</si>
  <si>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</si>
  <si>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</si>
  <si>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</si>
  <si>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</si>
  <si>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</si>
  <si>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</si>
  <si>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</si>
  <si>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</si>
  <si>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</si>
  <si>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</si>
  <si>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</si>
  <si>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</si>
  <si>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</si>
  <si>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</si>
  <si>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</si>
  <si>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</si>
  <si>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</si>
  <si>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</si>
  <si>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</si>
  <si>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</si>
  <si>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</si>
  <si>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</si>
  <si>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</si>
  <si>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</si>
  <si>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</si>
  <si>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</si>
  <si>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</si>
  <si>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</si>
  <si>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</si>
  <si>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</si>
  <si>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</si>
  <si>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</si>
  <si>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</si>
  <si>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</si>
  <si>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</si>
  <si>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</si>
  <si>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</si>
  <si>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</si>
  <si>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</si>
  <si>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</si>
  <si>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</si>
  <si>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</si>
  <si>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</si>
  <si>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</si>
  <si>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</si>
  <si>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</si>
  <si>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</si>
  <si>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</si>
  <si>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</si>
  <si>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</si>
  <si>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</si>
  <si>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</si>
  <si>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</si>
  <si>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</si>
  <si>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</si>
  <si>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</si>
  <si>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</si>
  <si>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</si>
  <si>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</si>
  <si>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</si>
  <si>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</si>
  <si>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</si>
  <si>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</si>
  <si>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</si>
  <si>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</si>
  <si>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</si>
  <si>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</si>
  <si>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</si>
  <si>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</si>
  <si>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</si>
  <si>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</si>
  <si>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</si>
  <si>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</si>
  <si>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</si>
  <si>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</si>
  <si>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</si>
  <si>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</si>
  <si>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</si>
  <si>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</si>
  <si>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</si>
  <si>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</si>
  <si>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</si>
  <si>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</si>
  <si>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</si>
  <si>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</si>
  <si>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</si>
  <si>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</si>
  <si>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</si>
  <si>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</si>
  <si>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</si>
  <si>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</si>
  <si>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</si>
  <si>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</si>
  <si>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</si>
  <si>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</si>
  <si>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</si>
  <si>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</si>
  <si>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</si>
  <si>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</si>
  <si>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</si>
  <si>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</si>
  <si>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</si>
  <si>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</si>
  <si>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</si>
  <si>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</si>
  <si>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</si>
  <si>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</si>
  <si>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</si>
  <si>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</si>
  <si>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</si>
  <si>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</si>
  <si>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</si>
  <si>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</si>
  <si>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</si>
  <si>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</si>
  <si>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</si>
  <si>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</si>
  <si>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</si>
  <si>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</si>
  <si>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</si>
  <si>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</si>
  <si>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</si>
  <si>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</si>
  <si>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</si>
  <si>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</si>
  <si>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</si>
  <si>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</si>
  <si>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</si>
  <si>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</si>
  <si>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</si>
  <si>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</si>
  <si>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</si>
  <si>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</si>
  <si>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</si>
  <si>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</si>
  <si>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</si>
  <si>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</si>
  <si>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</si>
  <si>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</si>
  <si>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</si>
  <si>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</si>
  <si>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</si>
  <si>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</si>
  <si>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</si>
  <si>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</si>
  <si>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</si>
  <si>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</si>
  <si>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</si>
  <si>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</si>
  <si>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</si>
  <si>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</si>
  <si>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</si>
  <si>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</si>
  <si>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</si>
  <si>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</si>
  <si>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</si>
  <si>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</si>
  <si>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</si>
  <si>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</si>
  <si>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</si>
  <si>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</si>
  <si>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</si>
  <si>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</si>
  <si>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</si>
  <si>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</si>
  <si>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</si>
  <si>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</si>
  <si>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</si>
  <si>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</si>
  <si>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</si>
  <si>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</si>
  <si>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</si>
  <si>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</si>
  <si>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</si>
  <si>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</si>
  <si>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</si>
  <si>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</si>
  <si>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</si>
  <si>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</si>
  <si>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</si>
  <si>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</si>
  <si>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</si>
  <si>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</si>
  <si>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</si>
  <si>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</si>
  <si>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</si>
  <si>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</si>
  <si>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</si>
  <si>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</si>
  <si>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</si>
  <si>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</si>
  <si>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</si>
  <si>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</si>
  <si>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</si>
  <si>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</si>
  <si>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</si>
  <si>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</si>
  <si>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</si>
  <si>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</si>
  <si>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</si>
  <si>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</si>
  <si>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</si>
  <si>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</si>
  <si>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</si>
  <si>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</si>
  <si>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</si>
  <si>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</si>
  <si>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</si>
  <si>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</si>
  <si>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</si>
  <si>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</si>
  <si>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</si>
  <si>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</si>
  <si>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</si>
  <si>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</si>
  <si>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</si>
  <si>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</si>
  <si>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</si>
  <si>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</si>
  <si>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</si>
  <si>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</si>
  <si>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</si>
  <si>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</si>
  <si>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</si>
  <si>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</si>
  <si>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</si>
  <si>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</si>
  <si>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</si>
  <si>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</si>
  <si>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</si>
  <si>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</si>
  <si>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</si>
  <si>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</si>
  <si>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</si>
  <si>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</si>
  <si>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</si>
  <si>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</si>
  <si>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</si>
  <si>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</si>
  <si>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</si>
  <si>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</si>
  <si>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</si>
  <si>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</si>
  <si>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</si>
  <si>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</si>
  <si>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</si>
  <si>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</si>
  <si>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</si>
  <si>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</si>
  <si>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</si>
  <si>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</si>
  <si>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</si>
  <si>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</si>
  <si>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</si>
  <si>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</si>
  <si>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</si>
  <si>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</si>
  <si>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</si>
  <si>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</si>
  <si>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</si>
  <si>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</si>
  <si>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</si>
  <si>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</si>
  <si>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</si>
  <si>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</si>
  <si>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</si>
  <si>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</si>
  <si>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</si>
  <si>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</si>
  <si>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</si>
  <si>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</si>
  <si>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</si>
  <si>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</si>
  <si>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</si>
  <si>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</si>
  <si>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</si>
  <si>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</si>
  <si>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</si>
  <si>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</si>
  <si>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</si>
  <si>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</si>
  <si>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</si>
  <si>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</si>
  <si>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</si>
  <si>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</si>
  <si>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</si>
  <si>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</si>
  <si>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</si>
  <si>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</si>
  <si>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</si>
  <si>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</si>
  <si>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</si>
  <si>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</si>
  <si>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</si>
  <si>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</si>
  <si>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</si>
  <si>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</si>
  <si>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</si>
  <si>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</si>
  <si>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</si>
  <si>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</si>
  <si>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</si>
  <si>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</si>
  <si>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</si>
  <si>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</si>
  <si>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</si>
  <si>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</si>
  <si>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</si>
  <si>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</si>
  <si>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</si>
  <si>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</si>
  <si>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</si>
  <si>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</si>
  <si>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</si>
  <si>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</si>
  <si>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</si>
  <si>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</si>
  <si>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</si>
  <si>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</si>
  <si>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</si>
  <si>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</si>
  <si>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</si>
  <si>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</si>
  <si>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</si>
  <si>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</si>
  <si>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</si>
  <si>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</si>
  <si>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</si>
  <si>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</si>
  <si>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</si>
  <si>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</si>
  <si>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</si>
  <si>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</si>
  <si>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</si>
  <si>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</si>
  <si>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</si>
  <si>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</si>
  <si>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</si>
  <si>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</si>
  <si>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</si>
  <si>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</si>
  <si>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</si>
  <si>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</si>
  <si>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</si>
  <si>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</si>
  <si>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</si>
  <si>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</si>
  <si>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</si>
  <si>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</si>
  <si>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</si>
  <si>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</si>
  <si>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</si>
  <si>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</si>
  <si>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</si>
  <si>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</si>
  <si>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</si>
  <si>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</si>
  <si>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</si>
  <si>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</si>
  <si>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</si>
  <si>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</si>
  <si>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</si>
  <si>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</si>
  <si>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</si>
  <si>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</si>
  <si>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</si>
  <si>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</si>
  <si>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</si>
  <si>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</si>
  <si>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</si>
  <si>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</si>
  <si>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</si>
  <si>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</si>
  <si>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</si>
  <si>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</si>
  <si>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</si>
  <si>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</si>
  <si>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</si>
  <si>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</si>
  <si>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</si>
  <si>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</si>
  <si>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</si>
  <si>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</si>
  <si>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</si>
  <si>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</si>
  <si>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</si>
  <si>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</si>
  <si>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</si>
  <si>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</si>
  <si>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</si>
  <si>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</si>
  <si>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</si>
  <si>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</si>
  <si>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</si>
  <si>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</si>
  <si>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</si>
  <si>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</si>
  <si>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</si>
  <si>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</si>
  <si>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</si>
  <si>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</si>
  <si>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</si>
  <si>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</si>
  <si>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</si>
  <si>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</si>
  <si>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</si>
  <si>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</si>
  <si>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</si>
  <si>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</si>
  <si>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</si>
  <si>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</si>
  <si>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</si>
  <si>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</si>
  <si>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</si>
  <si>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</si>
  <si>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</si>
  <si>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</si>
  <si>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</si>
  <si>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</si>
  <si>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</si>
  <si>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</si>
  <si>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</si>
  <si>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</si>
  <si>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</si>
  <si>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</si>
  <si>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</si>
  <si>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</si>
  <si>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</si>
  <si>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</si>
  <si>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</si>
  <si>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</si>
  <si>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</si>
  <si>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</si>
  <si>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</si>
  <si>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</si>
  <si>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</si>
  <si>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</si>
  <si>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</si>
  <si>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</si>
  <si>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</si>
  <si>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</si>
  <si>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</si>
  <si>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</si>
  <si>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</si>
  <si>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</si>
  <si>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</si>
  <si>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</si>
  <si>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</si>
  <si>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</si>
  <si>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</si>
  <si>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</si>
  <si>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</si>
  <si>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</si>
  <si>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</si>
  <si>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</si>
  <si>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</si>
  <si>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</si>
  <si>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</si>
  <si>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</si>
  <si>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</si>
  <si>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</si>
  <si>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</si>
  <si>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</si>
  <si>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</si>
  <si>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</si>
  <si>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</si>
  <si>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</si>
  <si>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</si>
  <si>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</si>
  <si>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</si>
  <si>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</si>
  <si>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</si>
  <si>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</si>
  <si>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</si>
  <si>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</si>
  <si>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</si>
  <si>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</si>
  <si>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</si>
  <si>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</si>
  <si>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</si>
  <si>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</si>
  <si>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</si>
  <si>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</si>
  <si>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</si>
  <si>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</si>
  <si>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</si>
  <si>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</si>
  <si>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</si>
  <si>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</si>
  <si>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</si>
  <si>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</si>
  <si>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</si>
  <si>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</si>
  <si>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</si>
  <si>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</si>
  <si>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</si>
  <si>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</si>
  <si>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</si>
  <si>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</si>
  <si>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</si>
  <si>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</si>
  <si>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</si>
  <si>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</si>
  <si>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</si>
  <si>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</si>
  <si>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</si>
  <si>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</si>
  <si>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</si>
  <si>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</si>
  <si>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</si>
  <si>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</si>
  <si>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</si>
  <si>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</si>
  <si>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</si>
  <si>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</si>
  <si>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</si>
  <si>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</si>
  <si>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</si>
  <si>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</si>
  <si>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</si>
  <si>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</si>
  <si>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</si>
  <si>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</si>
  <si>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</si>
  <si>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</si>
  <si>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</si>
  <si>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</si>
  <si>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</si>
  <si>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All products produced by JVL A/S</t>
  </si>
  <si>
    <t>JVL Industri Elektronik A/S</t>
  </si>
  <si>
    <t>59769</t>
  </si>
  <si>
    <t>Bregnerødvej 127 DK-3460 Birkerød Denmark</t>
  </si>
  <si>
    <t>Jakob Andersen</t>
  </si>
  <si>
    <t>jva@jvl.dk</t>
  </si>
  <si>
    <t>+45 4594 0551</t>
  </si>
  <si>
    <t>Service and Quality Manager</t>
  </si>
  <si>
    <t>Capacitors</t>
  </si>
  <si>
    <t>Solder and PCB's</t>
  </si>
  <si>
    <t>Connectors and PCB's</t>
  </si>
  <si>
    <t>https://www.jvl.dk/319/other-documents</t>
  </si>
  <si>
    <t>CFSI</t>
  </si>
  <si>
    <t/>
  </si>
  <si>
    <t>CV United Smelting</t>
  </si>
  <si>
    <t>CID000315</t>
  </si>
  <si>
    <t>KEMET Blue Powder</t>
  </si>
  <si>
    <t>CID002568</t>
  </si>
  <si>
    <t>Mound House</t>
  </si>
  <si>
    <t>PT Bukit Timah</t>
  </si>
  <si>
    <t>CID001428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</si>
</sst>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 #,##0_-;\-* #,##0_-;_-* &quot;-&quot;_-;_-@_-"/>
    <numFmt numFmtId="165" formatCode="_-* #,##0\ &quot;€&quot;_-;\-* #,##0\ &quot;€&quot;_-;_-* &quot;-&quot;\ &quot;€&quot;_-;_-@_-"/>
    <numFmt numFmtId="166" formatCode="_-* #,##0.00_-;\-* #,##0.00_-;_-* &quot;-&quot;??_-;_-@_-"/>
    <numFmt numFmtId="167" formatCode="_-* #,##0.00\ &quot;€&quot;_-;\-* #,##0.00\ &quot;€&quot;_-;_-* &quot;-&quot;??\ &quot;€&quot;_-;_-@_-"/>
    <numFmt numFmtId="168" formatCode="_(&quot;$&quot;* #,##0_);_(&quot;$&quot;* \(#,##0\);_(&quot;$&quot;* &quot;-&quot;_);_(@_)"/>
    <numFmt numFmtId="169" formatCode="_(* #,##0_);_(* \(#,##0\);_(* &quot;-&quot;_);_(@_)"/>
    <numFmt numFmtId="170" formatCode="_(&quot;$&quot;* #,##0.00_);_(&quot;$&quot;* \(#,##0.00\);_(&quot;$&quot;* &quot;-&quot;??_);_(@_)"/>
    <numFmt numFmtId="171" formatCode="_(* #,##0.00_);_(* \(#,##0.00\);_(* &quot;-&quot;??_);_(@_)"/>
    <numFmt numFmtId="172" formatCode="[$-409]mmmm\ d\,\ yyyy;@"/>
    <numFmt numFmtId="173" formatCode="[$-409]d\-mmm\-yyyy;@"/>
    <numFmt numFmtId="174" formatCode="0.0"/>
    <numFmt numFmtId="175" formatCode="_-&quot;$&quot;* #,##0_-;\-&quot;$&quot;* #,##0_-;_-&quot;$&quot;* &quot;-&quot;_-;_-@_-"/>
    <numFmt numFmtId="176" formatCode="_-&quot;$&quot;* #,##0.00_-;\-&quot;$&quot;* #,##0.00_-;_-&quot;$&quot;* &quot;-&quot;??_-;_-@_-"/>
    <numFmt numFmtId="177" formatCode="_-* #,##0\ _€_-;\-* #,##0\ _€_-;_-* &quot;-&quot;\ _€_-;_-@_-"/>
    <numFmt numFmtId="178" formatCode="_-* #,##0.00\ _€_-;\-* #,##0.00\ _€_-;_-* &quot;-&quot;??\ _€_-;_-@_-"/>
    <numFmt numFmtId="179" formatCode="_-&quot;€&quot;\ * #,##0_-;\-&quot;€&quot;\ * #,##0_-;_-&quot;€&quot;\ * &quot;-&quot;_-;_-@_-"/>
    <numFmt numFmtId="180"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9" fontId="10" fillId="0" borderId="0" applyFont="0" applyFill="0" applyBorder="0" applyAlignment="0" applyProtection="0"/>
    <xf numFmtId="164" fontId="10" fillId="0" borderId="0" applyFont="0" applyFill="0" applyBorder="0" applyAlignment="0" applyProtection="0"/>
    <xf numFmtId="177"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5" fontId="10" fillId="0" borderId="0" applyFont="0" applyFill="0" applyBorder="0" applyAlignment="0" applyProtection="0"/>
    <xf numFmtId="179"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2"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2" fontId="2" fillId="0" borderId="0"/>
    <xf numFmtId="0" fontId="90" fillId="0" borderId="0"/>
    <xf numFmtId="0" fontId="90" fillId="0" borderId="0"/>
    <xf numFmtId="172"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2" fontId="2" fillId="0" borderId="0"/>
    <xf numFmtId="0" fontId="7" fillId="0" borderId="0"/>
    <xf numFmtId="172" fontId="90" fillId="0" borderId="0"/>
    <xf numFmtId="0" fontId="55" fillId="0" borderId="0"/>
    <xf numFmtId="0" fontId="55" fillId="0" borderId="0"/>
    <xf numFmtId="172" fontId="7" fillId="0" borderId="0"/>
    <xf numFmtId="0" fontId="55" fillId="0" borderId="0"/>
    <xf numFmtId="0" fontId="7" fillId="0" borderId="0"/>
    <xf numFmtId="0" fontId="55" fillId="0" borderId="0"/>
    <xf numFmtId="0" fontId="72" fillId="0" borderId="0">
      <alignment vertical="center"/>
    </xf>
    <xf numFmtId="172"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2" fontId="2" fillId="0" borderId="0"/>
    <xf numFmtId="172"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2" fontId="10" fillId="0" borderId="0"/>
    <xf numFmtId="0" fontId="90" fillId="0" borderId="0"/>
    <xf numFmtId="0" fontId="90" fillId="0" borderId="0"/>
    <xf numFmtId="0" fontId="90" fillId="0" borderId="0"/>
    <xf numFmtId="172"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2"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3"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4"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2"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2" fontId="0" fillId="33" borderId="13" xfId="0" applyNumberFormat="1" applyFont="1" applyFill="1" applyBorder="1" applyAlignment="1">
      <alignment vertical="top" wrapText="1"/>
    </xf>
    <xf numFmtId="172" fontId="0" fillId="33" borderId="0" xfId="0" applyNumberFormat="1" applyFont="1" applyFill="1" applyBorder="1" applyAlignment="1"/>
    <xf numFmtId="172" fontId="9" fillId="33" borderId="0" xfId="0" applyNumberFormat="1" applyFont="1" applyFill="1" applyBorder="1"/>
    <xf numFmtId="172" fontId="14" fillId="33" borderId="0" xfId="0" applyNumberFormat="1" applyFont="1" applyFill="1" applyBorder="1" applyAlignment="1">
      <alignment horizontal="center" vertical="center" wrapText="1"/>
    </xf>
    <xf numFmtId="172" fontId="11" fillId="33" borderId="0" xfId="0" applyNumberFormat="1" applyFont="1" applyFill="1" applyBorder="1" applyAlignment="1">
      <alignment horizontal="center" vertical="center"/>
    </xf>
    <xf numFmtId="172" fontId="0" fillId="33" borderId="0" xfId="0" applyNumberFormat="1" applyFont="1" applyFill="1" applyBorder="1"/>
    <xf numFmtId="172" fontId="27" fillId="33" borderId="20" xfId="570" applyNumberFormat="1" applyFont="1" applyFill="1" applyBorder="1" applyAlignment="1">
      <alignment horizontal="center" vertical="center" wrapText="1"/>
    </xf>
    <xf numFmtId="172" fontId="0" fillId="0" borderId="0" xfId="0" applyNumberFormat="1" applyFont="1" applyFill="1" applyBorder="1"/>
    <xf numFmtId="172"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4"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2" fontId="53" fillId="0" borderId="0" xfId="480" applyFont="1" applyFill="1" applyAlignment="1">
      <alignment horizontal="left" vertical="top" wrapText="1"/>
    </xf>
    <xf numFmtId="172"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2"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2"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2" fontId="53" fillId="0" borderId="0" xfId="480" applyFont="1" applyFill="1" applyBorder="1" applyAlignment="1">
      <alignment vertical="top" wrapText="1"/>
    </xf>
    <xf numFmtId="0" fontId="94" fillId="0" borderId="0" xfId="0" applyFont="1"/>
    <xf numFmtId="172"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2"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2" fontId="25" fillId="0" borderId="48" xfId="570" applyNumberFormat="1" applyFont="1" applyFill="1" applyBorder="1" applyAlignment="1">
      <alignment horizontal="center" vertical="top" wrapText="1"/>
    </xf>
    <xf numFmtId="172" fontId="25" fillId="0" borderId="49" xfId="570" applyNumberFormat="1" applyFont="1" applyFill="1" applyBorder="1" applyAlignment="1">
      <alignment horizontal="center" vertical="top" wrapText="1"/>
    </xf>
    <xf numFmtId="172"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72" fontId="25" fillId="33" borderId="48" xfId="570" applyNumberFormat="1" applyFont="1" applyFill="1" applyBorder="1" applyAlignment="1">
      <alignment horizontal="center" vertical="top" wrapText="1"/>
    </xf>
    <xf numFmtId="172" fontId="25" fillId="33" borderId="49" xfId="570" applyNumberFormat="1" applyFont="1" applyFill="1" applyBorder="1" applyAlignment="1">
      <alignment horizontal="center" vertical="top" wrapText="1"/>
    </xf>
    <xf numFmtId="172"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3" fontId="14" fillId="33" borderId="34" xfId="0" applyNumberFormat="1" applyFont="1" applyFill="1" applyBorder="1" applyAlignment="1" applyProtection="1">
      <alignment horizontal="center" wrapText="1"/>
      <protection locked="0"/>
    </xf>
    <xf numFmtId="173"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3"/>
      <c r="B2" s="38" t="s">
        <v>847</v>
      </c>
      <c r="C2" s="36"/>
      <c r="D2" s="206"/>
      <c r="E2" s="3"/>
      <c r="F2" s="36"/>
      <c r="G2" s="34"/>
    </row>
    <row r="3" spans="1:7">
      <c r="A3" s="363"/>
      <c r="B3" s="5" t="s">
        <v>839</v>
      </c>
      <c r="C3" s="6"/>
      <c r="D3" s="207"/>
      <c r="E3" s="3"/>
      <c r="F3" s="6"/>
      <c r="G3" s="34"/>
    </row>
    <row r="4" spans="1:7" ht="15.75">
      <c r="A4" s="363"/>
      <c r="B4" s="41" t="s">
        <v>849</v>
      </c>
      <c r="C4" s="7"/>
      <c r="D4" s="208"/>
      <c r="E4" s="3"/>
      <c r="F4" s="7"/>
      <c r="G4" s="34"/>
    </row>
    <row r="5" spans="1:7">
      <c r="A5" s="363"/>
      <c r="B5" s="40" t="s">
        <v>1040</v>
      </c>
      <c r="C5" s="4"/>
      <c r="D5" s="209"/>
      <c r="E5" s="3"/>
      <c r="F5" s="4"/>
      <c r="G5" s="34"/>
    </row>
    <row r="6" spans="1:7">
      <c r="A6" s="363"/>
      <c r="B6" s="8"/>
      <c r="C6" s="8"/>
      <c r="D6" s="210"/>
      <c r="E6" s="8"/>
      <c r="F6" s="8"/>
      <c r="G6" s="34"/>
    </row>
    <row r="7" spans="1:7">
      <c r="A7" s="363"/>
      <c r="B7" s="8"/>
      <c r="C7" s="8"/>
      <c r="D7" s="210"/>
      <c r="E7" s="8"/>
      <c r="F7" s="8"/>
      <c r="G7" s="34"/>
    </row>
    <row r="8" spans="1:7">
      <c r="A8" s="363"/>
      <c r="B8" s="8"/>
      <c r="C8" s="8"/>
      <c r="D8" s="210"/>
      <c r="E8" s="8"/>
      <c r="F8" s="8"/>
      <c r="G8" s="34"/>
    </row>
    <row r="9" spans="1:7">
      <c r="A9" s="363"/>
      <c r="B9" s="366" t="s">
        <v>850</v>
      </c>
      <c r="C9" s="366"/>
      <c r="D9" s="366"/>
      <c r="E9" s="366"/>
      <c r="F9" s="366"/>
      <c r="G9" s="34"/>
    </row>
    <row r="10" spans="1:7" ht="27" customHeight="1">
      <c r="A10" s="363"/>
      <c r="B10" s="367" t="s">
        <v>438</v>
      </c>
      <c r="C10" s="367"/>
      <c r="D10" s="367"/>
      <c r="E10" s="367"/>
      <c r="F10" s="367"/>
      <c r="G10" s="34"/>
    </row>
    <row r="11" spans="1:7" ht="27" customHeight="1">
      <c r="A11" s="363"/>
      <c r="B11" s="368"/>
      <c r="C11" s="368"/>
      <c r="D11" s="368"/>
      <c r="E11" s="368"/>
      <c r="F11" s="368"/>
      <c r="G11" s="34"/>
    </row>
    <row r="12" spans="1:7">
      <c r="A12" s="363"/>
      <c r="B12" s="42" t="s">
        <v>848</v>
      </c>
      <c r="C12" s="43" t="s">
        <v>851</v>
      </c>
      <c r="D12" s="211" t="s">
        <v>852</v>
      </c>
      <c r="E12" s="43" t="s">
        <v>612</v>
      </c>
      <c r="F12" s="43" t="s">
        <v>613</v>
      </c>
      <c r="G12" s="34"/>
    </row>
    <row r="13" spans="1:7" ht="33.75">
      <c r="A13" s="363"/>
      <c r="B13" s="2">
        <v>1</v>
      </c>
      <c r="C13" s="37" t="s">
        <v>1088</v>
      </c>
      <c r="D13" s="39" t="s">
        <v>876</v>
      </c>
      <c r="E13" s="194" t="s">
        <v>853</v>
      </c>
      <c r="F13" s="194"/>
      <c r="G13" s="34"/>
    </row>
    <row r="14" spans="1:7" ht="33.75">
      <c r="A14" s="363"/>
      <c r="B14" s="2">
        <v>2</v>
      </c>
      <c r="C14" s="37" t="s">
        <v>1088</v>
      </c>
      <c r="D14" s="39" t="s">
        <v>1025</v>
      </c>
      <c r="E14" s="194" t="s">
        <v>530</v>
      </c>
      <c r="F14" s="194" t="s">
        <v>531</v>
      </c>
      <c r="G14" s="34"/>
    </row>
    <row r="15" spans="1:7" ht="89.1" customHeight="1">
      <c r="A15" s="363"/>
      <c r="B15" s="369">
        <v>2.0099999999999998</v>
      </c>
      <c r="C15" s="360" t="s">
        <v>1088</v>
      </c>
      <c r="D15" s="372" t="s">
        <v>2265</v>
      </c>
      <c r="E15" s="195" t="s">
        <v>614</v>
      </c>
      <c r="F15" s="195" t="s">
        <v>617</v>
      </c>
      <c r="G15" s="34"/>
    </row>
    <row r="16" spans="1:7" ht="99" customHeight="1">
      <c r="A16" s="363"/>
      <c r="B16" s="370"/>
      <c r="C16" s="361"/>
      <c r="D16" s="373"/>
      <c r="E16" s="196"/>
      <c r="F16" s="196" t="s">
        <v>615</v>
      </c>
      <c r="G16" s="34"/>
    </row>
    <row r="17" spans="1:7" ht="63" customHeight="1">
      <c r="A17" s="363"/>
      <c r="B17" s="371"/>
      <c r="C17" s="362"/>
      <c r="D17" s="374"/>
      <c r="E17" s="37"/>
      <c r="F17" s="37" t="s">
        <v>616</v>
      </c>
      <c r="G17" s="34"/>
    </row>
    <row r="18" spans="1:7" ht="117" customHeight="1">
      <c r="A18" s="363"/>
      <c r="B18" s="369">
        <v>2.02</v>
      </c>
      <c r="C18" s="360" t="s">
        <v>1088</v>
      </c>
      <c r="D18" s="372" t="s">
        <v>2266</v>
      </c>
      <c r="E18" s="195" t="s">
        <v>439</v>
      </c>
      <c r="F18" s="195" t="s">
        <v>525</v>
      </c>
      <c r="G18" s="34"/>
    </row>
    <row r="19" spans="1:7" ht="71.099999999999994" customHeight="1">
      <c r="A19" s="363"/>
      <c r="B19" s="370"/>
      <c r="C19" s="361"/>
      <c r="D19" s="373"/>
      <c r="E19" s="196" t="s">
        <v>529</v>
      </c>
      <c r="F19" s="196" t="s">
        <v>440</v>
      </c>
      <c r="G19" s="34"/>
    </row>
    <row r="20" spans="1:7" ht="90.75" customHeight="1">
      <c r="A20" s="363"/>
      <c r="B20" s="370"/>
      <c r="C20" s="361"/>
      <c r="D20" s="373"/>
      <c r="E20" s="196"/>
      <c r="F20" s="196" t="s">
        <v>619</v>
      </c>
      <c r="G20" s="34"/>
    </row>
    <row r="21" spans="1:7" ht="74.25" customHeight="1">
      <c r="A21" s="363"/>
      <c r="B21" s="371"/>
      <c r="C21" s="362"/>
      <c r="D21" s="374"/>
      <c r="E21" s="37"/>
      <c r="F21" s="37" t="s">
        <v>618</v>
      </c>
      <c r="G21" s="34"/>
    </row>
    <row r="22" spans="1:7" ht="90" customHeight="1">
      <c r="A22" s="363"/>
      <c r="B22" s="354">
        <v>2.0299999999999998</v>
      </c>
      <c r="C22" s="354" t="s">
        <v>822</v>
      </c>
      <c r="D22" s="357" t="s">
        <v>2267</v>
      </c>
      <c r="E22" s="360" t="s">
        <v>437</v>
      </c>
      <c r="F22" s="195" t="s">
        <v>460</v>
      </c>
      <c r="G22" s="34"/>
    </row>
    <row r="23" spans="1:7" ht="109.5" customHeight="1">
      <c r="A23" s="363"/>
      <c r="B23" s="355"/>
      <c r="C23" s="355"/>
      <c r="D23" s="358"/>
      <c r="E23" s="361"/>
      <c r="F23" s="196" t="s">
        <v>823</v>
      </c>
      <c r="G23" s="34"/>
    </row>
    <row r="24" spans="1:7" ht="74.25" customHeight="1">
      <c r="A24" s="363"/>
      <c r="B24" s="356"/>
      <c r="C24" s="356"/>
      <c r="D24" s="359"/>
      <c r="E24" s="362"/>
      <c r="F24" s="37" t="s">
        <v>436</v>
      </c>
      <c r="G24" s="34"/>
    </row>
    <row r="25" spans="1:7" ht="72" customHeight="1">
      <c r="A25" s="363"/>
      <c r="B25" s="2" t="s">
        <v>458</v>
      </c>
      <c r="C25" s="37" t="s">
        <v>459</v>
      </c>
      <c r="D25" s="39" t="s">
        <v>2268</v>
      </c>
      <c r="E25" s="37" t="s">
        <v>2263</v>
      </c>
      <c r="F25" s="37" t="s">
        <v>461</v>
      </c>
      <c r="G25" s="34"/>
    </row>
    <row r="26" spans="1:7" ht="98.1" customHeight="1">
      <c r="A26" s="363"/>
      <c r="B26" s="375">
        <v>3</v>
      </c>
      <c r="C26" s="369" t="s">
        <v>70</v>
      </c>
      <c r="D26" s="372" t="s">
        <v>2269</v>
      </c>
      <c r="E26" s="360" t="s">
        <v>0</v>
      </c>
      <c r="F26" s="195" t="s">
        <v>64</v>
      </c>
      <c r="G26" s="34"/>
    </row>
    <row r="27" spans="1:7" ht="90" customHeight="1">
      <c r="A27" s="363"/>
      <c r="B27" s="376"/>
      <c r="C27" s="370"/>
      <c r="D27" s="373"/>
      <c r="E27" s="361"/>
      <c r="F27" s="196" t="s">
        <v>59</v>
      </c>
      <c r="G27" s="34"/>
    </row>
    <row r="28" spans="1:7" ht="19.350000000000001" customHeight="1">
      <c r="A28" s="363"/>
      <c r="B28" s="376"/>
      <c r="C28" s="370"/>
      <c r="D28" s="373"/>
      <c r="E28" s="361"/>
      <c r="F28" s="196" t="s">
        <v>60</v>
      </c>
      <c r="G28" s="34"/>
    </row>
    <row r="29" spans="1:7" ht="74.45" customHeight="1">
      <c r="A29" s="363"/>
      <c r="B29" s="376"/>
      <c r="C29" s="370"/>
      <c r="D29" s="373"/>
      <c r="E29" s="361"/>
      <c r="F29" s="196" t="s">
        <v>61</v>
      </c>
      <c r="G29" s="34"/>
    </row>
    <row r="30" spans="1:7" ht="62.45" customHeight="1">
      <c r="A30" s="363"/>
      <c r="B30" s="376"/>
      <c r="C30" s="370"/>
      <c r="D30" s="373"/>
      <c r="E30" s="361"/>
      <c r="F30" s="196" t="s">
        <v>62</v>
      </c>
      <c r="G30" s="34"/>
    </row>
    <row r="31" spans="1:7" ht="81" customHeight="1">
      <c r="A31" s="363"/>
      <c r="B31" s="376"/>
      <c r="C31" s="370"/>
      <c r="D31" s="373"/>
      <c r="E31" s="361"/>
      <c r="F31" s="196" t="s">
        <v>63</v>
      </c>
      <c r="G31" s="34"/>
    </row>
    <row r="32" spans="1:7" ht="48.75" customHeight="1">
      <c r="A32" s="363"/>
      <c r="B32" s="376"/>
      <c r="C32" s="370"/>
      <c r="D32" s="373"/>
      <c r="E32" s="361"/>
      <c r="F32" s="196" t="s">
        <v>66</v>
      </c>
      <c r="G32" s="34"/>
    </row>
    <row r="33" spans="1:7" ht="98.45" customHeight="1">
      <c r="A33" s="363"/>
      <c r="B33" s="376"/>
      <c r="C33" s="370"/>
      <c r="D33" s="373"/>
      <c r="E33" s="361"/>
      <c r="F33" s="196" t="s">
        <v>65</v>
      </c>
      <c r="G33" s="34"/>
    </row>
    <row r="34" spans="1:7" ht="89.1" customHeight="1">
      <c r="A34" s="363"/>
      <c r="B34" s="376"/>
      <c r="C34" s="370"/>
      <c r="D34" s="373"/>
      <c r="E34" s="361"/>
      <c r="F34" s="196" t="s">
        <v>67</v>
      </c>
      <c r="G34" s="34"/>
    </row>
    <row r="35" spans="1:7" ht="29.1" customHeight="1">
      <c r="A35" s="363"/>
      <c r="B35" s="376"/>
      <c r="C35" s="370"/>
      <c r="D35" s="373"/>
      <c r="E35" s="361"/>
      <c r="F35" s="196" t="s">
        <v>68</v>
      </c>
      <c r="G35" s="34"/>
    </row>
    <row r="36" spans="1:7" ht="126.75">
      <c r="A36" s="363"/>
      <c r="B36" s="377"/>
      <c r="C36" s="371"/>
      <c r="D36" s="374"/>
      <c r="E36" s="362"/>
      <c r="F36" s="197" t="s">
        <v>69</v>
      </c>
      <c r="G36" s="34"/>
    </row>
    <row r="37" spans="1:7" ht="112.5">
      <c r="A37" s="363"/>
      <c r="B37" s="170">
        <v>3.01</v>
      </c>
      <c r="C37" s="171" t="s">
        <v>70</v>
      </c>
      <c r="D37" s="39" t="s">
        <v>2270</v>
      </c>
      <c r="E37" s="198" t="s">
        <v>1328</v>
      </c>
      <c r="F37" s="199" t="s">
        <v>1434</v>
      </c>
      <c r="G37" s="34"/>
    </row>
    <row r="38" spans="1:7" ht="101.25">
      <c r="A38" s="363"/>
      <c r="B38" s="170">
        <v>3.02</v>
      </c>
      <c r="C38" s="171" t="s">
        <v>1361</v>
      </c>
      <c r="D38" s="39" t="s">
        <v>2271</v>
      </c>
      <c r="E38" s="198" t="s">
        <v>1376</v>
      </c>
      <c r="F38" s="199" t="s">
        <v>1435</v>
      </c>
      <c r="G38" s="34"/>
    </row>
    <row r="39" spans="1:7" ht="101.25">
      <c r="A39" s="363"/>
      <c r="B39" s="180">
        <v>4</v>
      </c>
      <c r="C39" s="179" t="s">
        <v>1531</v>
      </c>
      <c r="D39" s="39" t="s">
        <v>2272</v>
      </c>
      <c r="E39" s="37" t="s">
        <v>2215</v>
      </c>
      <c r="F39" s="37" t="s">
        <v>1532</v>
      </c>
      <c r="G39" s="34"/>
    </row>
    <row r="40" spans="1:7" ht="56.25">
      <c r="A40" s="363"/>
      <c r="B40" s="170">
        <v>4.01</v>
      </c>
      <c r="C40" s="179" t="s">
        <v>1531</v>
      </c>
      <c r="D40" s="39" t="s">
        <v>2274</v>
      </c>
      <c r="E40" s="37" t="s">
        <v>2229</v>
      </c>
      <c r="F40" s="37" t="s">
        <v>2233</v>
      </c>
      <c r="G40" s="34"/>
    </row>
    <row r="41" spans="1:7" ht="56.25">
      <c r="A41" s="363"/>
      <c r="B41" s="170" t="s">
        <v>2261</v>
      </c>
      <c r="C41" s="179" t="s">
        <v>1531</v>
      </c>
      <c r="D41" s="39" t="s">
        <v>2273</v>
      </c>
      <c r="E41" s="37" t="s">
        <v>2264</v>
      </c>
      <c r="F41" s="37" t="s">
        <v>2262</v>
      </c>
      <c r="G41" s="34"/>
    </row>
    <row r="42" spans="1:7" ht="56.25">
      <c r="A42" s="363"/>
      <c r="B42" s="170" t="s">
        <v>2299</v>
      </c>
      <c r="C42" s="179" t="s">
        <v>1531</v>
      </c>
      <c r="D42" s="39" t="s">
        <v>2306</v>
      </c>
      <c r="E42" s="37" t="s">
        <v>2263</v>
      </c>
      <c r="F42" s="37" t="s">
        <v>2300</v>
      </c>
      <c r="G42" s="34"/>
    </row>
    <row r="43" spans="1:7" ht="123.75">
      <c r="A43" s="363"/>
      <c r="B43" s="191">
        <v>4.0999999999999996</v>
      </c>
      <c r="C43" s="179" t="s">
        <v>2305</v>
      </c>
      <c r="D43" s="192">
        <v>42867</v>
      </c>
      <c r="E43" s="200" t="s">
        <v>2308</v>
      </c>
      <c r="F43" s="37" t="s">
        <v>2307</v>
      </c>
      <c r="G43" s="34"/>
    </row>
    <row r="44" spans="1:7" ht="78.75">
      <c r="A44" s="363"/>
      <c r="B44" s="191">
        <v>4.2</v>
      </c>
      <c r="C44" s="179" t="s">
        <v>2305</v>
      </c>
      <c r="D44" s="192">
        <v>42704</v>
      </c>
      <c r="E44" s="200" t="s">
        <v>2510</v>
      </c>
      <c r="F44" s="37" t="s">
        <v>2485</v>
      </c>
      <c r="G44" s="34"/>
    </row>
    <row r="45" spans="1:7" ht="157.5">
      <c r="A45" s="363"/>
      <c r="B45" s="240">
        <v>5</v>
      </c>
      <c r="C45" s="179" t="s">
        <v>2305</v>
      </c>
      <c r="D45" s="192">
        <v>42867</v>
      </c>
      <c r="E45" s="200" t="s">
        <v>12917</v>
      </c>
      <c r="F45" s="37" t="s">
        <v>12639</v>
      </c>
      <c r="G45" s="34"/>
    </row>
    <row r="46" spans="1:7" ht="45">
      <c r="A46" s="363"/>
      <c r="B46" s="191">
        <v>5.01</v>
      </c>
      <c r="C46" s="179" t="s">
        <v>2305</v>
      </c>
      <c r="D46" s="192">
        <v>42907</v>
      </c>
      <c r="E46" s="200" t="s">
        <v>12935</v>
      </c>
      <c r="F46" s="37" t="s">
        <v>12639</v>
      </c>
      <c r="G46" s="34"/>
    </row>
    <row r="47" spans="1:7" ht="67.5">
      <c r="A47" s="363"/>
      <c r="B47" s="191">
        <v>5.0999999999999996</v>
      </c>
      <c r="C47" s="179" t="s">
        <v>2305</v>
      </c>
      <c r="D47" s="192">
        <v>43070</v>
      </c>
      <c r="E47" s="200" t="s">
        <v>13129</v>
      </c>
      <c r="F47" s="37" t="s">
        <v>13130</v>
      </c>
      <c r="G47" s="34"/>
    </row>
    <row r="48" spans="1:7" ht="56.25">
      <c r="A48" s="363"/>
      <c r="B48" s="191">
        <v>5.1100000000000003</v>
      </c>
      <c r="C48" s="179" t="s">
        <v>13371</v>
      </c>
      <c r="D48" s="192">
        <v>43217</v>
      </c>
      <c r="E48" s="200" t="s">
        <v>13499</v>
      </c>
      <c r="F48" s="37" t="s">
        <v>13405</v>
      </c>
      <c r="G48" s="34"/>
    </row>
    <row r="49" spans="1:7" ht="56.25">
      <c r="A49" s="363"/>
      <c r="B49" s="191">
        <v>5.12</v>
      </c>
      <c r="C49" s="179" t="s">
        <v>13371</v>
      </c>
      <c r="D49" s="192">
        <v>43581</v>
      </c>
      <c r="E49" s="200" t="s">
        <v>13499</v>
      </c>
      <c r="F49" s="37" t="s">
        <v>14064</v>
      </c>
      <c r="G49" s="34"/>
    </row>
    <row r="50" spans="1:7" ht="78.75">
      <c r="A50" s="363"/>
      <c r="B50" s="240">
        <v>6</v>
      </c>
      <c r="C50" s="179" t="s">
        <v>13371</v>
      </c>
      <c r="D50" s="192">
        <v>43964</v>
      </c>
      <c r="E50" s="200" t="s">
        <v>14291</v>
      </c>
      <c r="F50" s="37" t="s">
        <v>14074</v>
      </c>
      <c r="G50" s="34"/>
    </row>
    <row r="51" spans="1:7" ht="45">
      <c r="A51" s="363"/>
      <c r="B51" s="191">
        <v>6.01</v>
      </c>
      <c r="C51" s="179" t="s">
        <v>13371</v>
      </c>
      <c r="D51" s="192">
        <v>43970</v>
      </c>
      <c r="E51" s="200" t="s">
        <v>15309</v>
      </c>
      <c r="F51" s="200" t="s">
        <v>14074</v>
      </c>
      <c r="G51" s="34"/>
    </row>
    <row r="52" spans="1:7" ht="45">
      <c r="A52" s="363"/>
      <c r="B52" s="191">
        <v>6.1</v>
      </c>
      <c r="C52" s="179" t="s">
        <v>13371</v>
      </c>
      <c r="D52" s="192">
        <v>44314</v>
      </c>
      <c r="E52" s="200" t="s">
        <v>15314</v>
      </c>
      <c r="F52" s="200" t="s">
        <v>15319</v>
      </c>
      <c r="G52" s="34"/>
    </row>
    <row r="53" spans="1:7" ht="13.5" thickBot="1">
      <c r="A53" s="364"/>
      <c r="B53" s="365" t="str">
        <f ca="1">OFFSET(L!$C$1,MATCH("General"&amp;"Cpy",L!$A:$A,0)-1,SL,,)</f>
        <v>© 2021 Responsible Minerals Initiative. All rights reserved.</v>
      </c>
      <c r="C53" s="365"/>
      <c r="D53" s="365"/>
      <c r="E53" s="365"/>
      <c r="F53" s="36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F2C617-4720-4DBF-B39C-D3D2BB8FAE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A5523BFB-A13C-4C40-9E87-E7A5FE5BA7C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3" zoomScale="75" zoomScaleNormal="75" zoomScalePageLayoutView="70" workbookViewId="0">
      <selection activeCell="D61" sqref="D61:E6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15607</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t="s">
        <v>15606</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15608</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15609</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15611</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15610</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15613</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15611</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44595</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4" t="s">
        <v>488</v>
      </c>
      <c r="E26" s="385"/>
      <c r="F26" s="15"/>
      <c r="G26" s="386" t="s">
        <v>15614</v>
      </c>
      <c r="H26" s="387"/>
      <c r="I26" s="387"/>
      <c r="J26" s="388"/>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t="s">
        <v>15615</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4" t="s">
        <v>488</v>
      </c>
      <c r="E28" s="385"/>
      <c r="F28" s="15"/>
      <c r="G28" s="386" t="s">
        <v>15616</v>
      </c>
      <c r="H28" s="387"/>
      <c r="I28" s="387"/>
      <c r="J28" s="388"/>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1" t="s">
        <v>488</v>
      </c>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4" t="s">
        <v>488</v>
      </c>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1</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4" t="s">
        <v>488</v>
      </c>
      <c r="E38" s="385"/>
      <c r="F38" s="58"/>
      <c r="G38" s="386"/>
      <c r="H38" s="387"/>
      <c r="I38" s="387"/>
      <c r="J38" s="388"/>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4" t="s">
        <v>489</v>
      </c>
      <c r="E40" s="385"/>
      <c r="F40" s="58"/>
      <c r="G40" s="386"/>
      <c r="H40" s="387"/>
      <c r="I40" s="387"/>
      <c r="J40" s="388"/>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1</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4" t="s">
        <v>489</v>
      </c>
      <c r="E44" s="385"/>
      <c r="F44" s="58"/>
      <c r="G44" s="386"/>
      <c r="H44" s="387"/>
      <c r="I44" s="387"/>
      <c r="J44" s="388"/>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4" t="s">
        <v>489</v>
      </c>
      <c r="E46" s="385"/>
      <c r="F46" s="58"/>
      <c r="G46" s="386"/>
      <c r="H46" s="387"/>
      <c r="I46" s="387"/>
      <c r="J46" s="388"/>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4" t="s">
        <v>489</v>
      </c>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4" t="s">
        <v>489</v>
      </c>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89">
        <v>1</v>
      </c>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89">
        <v>1</v>
      </c>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1" t="s">
        <v>488</v>
      </c>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4" t="s">
        <v>488</v>
      </c>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4" t="s">
        <v>488</v>
      </c>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4" t="s">
        <v>488</v>
      </c>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488</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489</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05" priority="63" stopIfTrue="1">
      <formula>AND(OR($D$26="No",AND($D$26="Yes",$D$32="No")),OR($D$27="No",AND($D$27="Yes",$D$33="No")),OR($D$28="No",AND($D$28="Yes",$D$34="No")),OR($D$29="No",AND($D$29="Yes",$D$35="No")))</formula>
    </cfRule>
    <cfRule type="expression" dxfId="104" priority="64" stopIfTrue="1">
      <formula>IF(D75="",TRUE)</formula>
    </cfRule>
  </conditionalFormatting>
  <conditionalFormatting sqref="G77:J77">
    <cfRule type="expression" dxfId="103" priority="35" stopIfTrue="1">
      <formula>IF(AND($D$77="Yes",$G$77=""),TRUE)</formula>
    </cfRule>
  </conditionalFormatting>
  <conditionalFormatting sqref="D26:E26">
    <cfRule type="expression" dxfId="102" priority="115" stopIfTrue="1">
      <formula>IF($D$26="",TRUE)</formula>
    </cfRule>
  </conditionalFormatting>
  <conditionalFormatting sqref="D27:E27">
    <cfRule type="expression" dxfId="101" priority="122" stopIfTrue="1">
      <formula>IF($D$27="",TRUE)</formula>
    </cfRule>
  </conditionalFormatting>
  <conditionalFormatting sqref="D28:E28">
    <cfRule type="expression" dxfId="100" priority="123" stopIfTrue="1">
      <formula>IF($D$28="",TRUE)</formula>
    </cfRule>
  </conditionalFormatting>
  <conditionalFormatting sqref="D29:E29">
    <cfRule type="expression" dxfId="99" priority="124" stopIfTrue="1">
      <formula>IF($D$29="",TRUE)</formula>
    </cfRule>
  </conditionalFormatting>
  <conditionalFormatting sqref="D8:J8">
    <cfRule type="expression" dxfId="98" priority="129" stopIfTrue="1">
      <formula>IF($D$8="",TRUE)</formula>
    </cfRule>
  </conditionalFormatting>
  <conditionalFormatting sqref="D9:G9">
    <cfRule type="expression" dxfId="97" priority="130" stopIfTrue="1">
      <formula>IF($D$9="",TRUE)</formula>
    </cfRule>
  </conditionalFormatting>
  <conditionalFormatting sqref="D15:J15">
    <cfRule type="expression" dxfId="96" priority="131" stopIfTrue="1">
      <formula>IF($D$15="",TRUE)</formula>
    </cfRule>
  </conditionalFormatting>
  <conditionalFormatting sqref="D16:J16">
    <cfRule type="expression" dxfId="95" priority="132" stopIfTrue="1">
      <formula>IF($D$16="",TRUE)</formula>
    </cfRule>
  </conditionalFormatting>
  <conditionalFormatting sqref="D17:J17">
    <cfRule type="expression" dxfId="94" priority="133" stopIfTrue="1">
      <formula>IF($D$17="",TRUE)</formula>
    </cfRule>
  </conditionalFormatting>
  <conditionalFormatting sqref="D18:J18">
    <cfRule type="expression" dxfId="93" priority="134" stopIfTrue="1">
      <formula>IF($D$18="",TRUE)</formula>
    </cfRule>
  </conditionalFormatting>
  <conditionalFormatting sqref="D22:E22">
    <cfRule type="expression" dxfId="92" priority="137" stopIfTrue="1">
      <formula>IF($D$22="",TRUE)</formula>
    </cfRule>
  </conditionalFormatting>
  <conditionalFormatting sqref="D10:J10">
    <cfRule type="expression" dxfId="91" priority="34" stopIfTrue="1">
      <formula>IF($D$9=$Q$9,TRUE)</formula>
    </cfRule>
    <cfRule type="expression" dxfId="90" priority="144" stopIfTrue="1">
      <formula>IF(AND($D$10="",$D$9=$R$9),TRUE)</formula>
    </cfRule>
  </conditionalFormatting>
  <conditionalFormatting sqref="D34:E34 D40:E40 D52:E52 D58:E58 D64:E64 D70:E70">
    <cfRule type="expression" dxfId="89" priority="27" stopIfTrue="1">
      <formula>$P$28=""</formula>
    </cfRule>
  </conditionalFormatting>
  <conditionalFormatting sqref="D35:E35 D41:E41 D53:E53 D59:E59 D65:E65 D71:E71">
    <cfRule type="expression" dxfId="88" priority="142" stopIfTrue="1">
      <formula>$P$29=""</formula>
    </cfRule>
  </conditionalFormatting>
  <conditionalFormatting sqref="D32:E32">
    <cfRule type="expression" dxfId="87" priority="120" stopIfTrue="1">
      <formula>$P$26=""</formula>
    </cfRule>
  </conditionalFormatting>
  <conditionalFormatting sqref="D32:E32">
    <cfRule type="expression" dxfId="86" priority="33" stopIfTrue="1">
      <formula>IF(AND(OR($D$26="Yes",$D$26=""),$D$32=""),1,0)</formula>
    </cfRule>
  </conditionalFormatting>
  <conditionalFormatting sqref="D38 D50 D56 D62 D68">
    <cfRule type="expression" dxfId="85" priority="29" stopIfTrue="1">
      <formula>$P$32=""</formula>
    </cfRule>
  </conditionalFormatting>
  <conditionalFormatting sqref="D39:E39 D51 D57 D63 D69">
    <cfRule type="expression" dxfId="84" priority="28" stopIfTrue="1">
      <formula>$P$33=""</formula>
    </cfRule>
  </conditionalFormatting>
  <conditionalFormatting sqref="D40 D52 D58 D64 D70">
    <cfRule type="expression" dxfId="83" priority="18" stopIfTrue="1">
      <formula>$P$34=""</formula>
    </cfRule>
    <cfRule type="expression" dxfId="82" priority="140" stopIfTrue="1">
      <formula>IF(AND(OR($D$28="Yes",$D$28=""),D40=""),1,0)</formula>
    </cfRule>
  </conditionalFormatting>
  <conditionalFormatting sqref="D41 D53 D59 D65 D71">
    <cfRule type="expression" dxfId="81" priority="26" stopIfTrue="1">
      <formula>$P$35=""</formula>
    </cfRule>
  </conditionalFormatting>
  <conditionalFormatting sqref="D38:E38 D50:E50 D56:E56 D62:E62 D68:E68">
    <cfRule type="expression" dxfId="80" priority="31" stopIfTrue="1">
      <formula>$P$26=""</formula>
    </cfRule>
    <cfRule type="expression" dxfId="79" priority="32" stopIfTrue="1">
      <formula>IF(AND(OR($D$26="Yes",$D$26=""),D38=""),1,0)</formula>
    </cfRule>
  </conditionalFormatting>
  <conditionalFormatting sqref="G85:J85">
    <cfRule type="expression" dxfId="78" priority="25" stopIfTrue="1">
      <formula>IF(AND($D$85="Yes, using other format (describe)",$G$85=""),TRUE)</formula>
    </cfRule>
  </conditionalFormatting>
  <conditionalFormatting sqref="D39:E39 D51:E51 D57:E57 D63:E63 D69:E69">
    <cfRule type="expression" dxfId="77" priority="138" stopIfTrue="1">
      <formula>$P$39=""</formula>
    </cfRule>
    <cfRule type="expression" dxfId="76" priority="139" stopIfTrue="1">
      <formula>IF(AND(OR($D$27="Yes",$D$27=""),D39=""),1,0)</formula>
    </cfRule>
  </conditionalFormatting>
  <conditionalFormatting sqref="D33:E33">
    <cfRule type="expression" dxfId="75" priority="20" stopIfTrue="1">
      <formula>IF(AND(OR($D$27="Yes",$D$27=""),$D$33=""),1,0)</formula>
    </cfRule>
    <cfRule type="expression" dxfId="74" priority="21" stopIfTrue="1">
      <formula>$P$27=""</formula>
    </cfRule>
  </conditionalFormatting>
  <conditionalFormatting sqref="D34:E34">
    <cfRule type="expression" dxfId="73" priority="141" stopIfTrue="1">
      <formula>IF(AND(OR($D$28="Yes",$D$28=""),$D$34=""),1,0)</formula>
    </cfRule>
  </conditionalFormatting>
  <conditionalFormatting sqref="D41:E41 D53:E53 D59:E59 D65:E65 D71:E71">
    <cfRule type="expression" dxfId="72" priority="143" stopIfTrue="1">
      <formula>IF(AND(OR($D$29="Yes",$D$29=""),D41=""),1,0)</formula>
    </cfRule>
  </conditionalFormatting>
  <conditionalFormatting sqref="D35:E35">
    <cfRule type="expression" dxfId="71" priority="17" stopIfTrue="1">
      <formula>IF(AND(OR($D$29="Yes",$D$29=""),$D$35=""),1,0)</formula>
    </cfRule>
  </conditionalFormatting>
  <conditionalFormatting sqref="D20:J20">
    <cfRule type="expression" dxfId="70" priority="13" stopIfTrue="1">
      <formula>IF($D$20="",TRUE)</formula>
    </cfRule>
  </conditionalFormatting>
  <conditionalFormatting sqref="D46:E46">
    <cfRule type="expression" dxfId="69" priority="3" stopIfTrue="1">
      <formula>$P$28=""</formula>
    </cfRule>
  </conditionalFormatting>
  <conditionalFormatting sqref="D47:E47">
    <cfRule type="expression" dxfId="68" priority="11" stopIfTrue="1">
      <formula>$P$29=""</formula>
    </cfRule>
  </conditionalFormatting>
  <conditionalFormatting sqref="D44">
    <cfRule type="expression" dxfId="67" priority="5" stopIfTrue="1">
      <formula>$P$32=""</formula>
    </cfRule>
  </conditionalFormatting>
  <conditionalFormatting sqref="D45">
    <cfRule type="expression" dxfId="66" priority="4" stopIfTrue="1">
      <formula>$P$33=""</formula>
    </cfRule>
  </conditionalFormatting>
  <conditionalFormatting sqref="D46">
    <cfRule type="expression" dxfId="65" priority="1" stopIfTrue="1">
      <formula>$P$34=""</formula>
    </cfRule>
    <cfRule type="expression" dxfId="64" priority="10" stopIfTrue="1">
      <formula>IF(AND(OR($D$28="Yes",$D$28=""),D46=""),1,0)</formula>
    </cfRule>
  </conditionalFormatting>
  <conditionalFormatting sqref="D47">
    <cfRule type="expression" dxfId="63" priority="2" stopIfTrue="1">
      <formula>$P$35=""</formula>
    </cfRule>
  </conditionalFormatting>
  <conditionalFormatting sqref="D44:E44">
    <cfRule type="expression" dxfId="62" priority="6" stopIfTrue="1">
      <formula>$P$26=""</formula>
    </cfRule>
    <cfRule type="expression" dxfId="61" priority="7" stopIfTrue="1">
      <formula>IF(AND(OR($D$26="Yes",$D$26=""),D44=""),1,0)</formula>
    </cfRule>
  </conditionalFormatting>
  <conditionalFormatting sqref="D45:E45">
    <cfRule type="expression" dxfId="60" priority="8" stopIfTrue="1">
      <formula>$P$39=""</formula>
    </cfRule>
    <cfRule type="expression" dxfId="59" priority="9" stopIfTrue="1">
      <formula>IF(AND(OR($D$27="Yes",$D$27=""),D45=""),1,0)</formula>
    </cfRule>
  </conditionalFormatting>
  <conditionalFormatting sqref="D47:E47">
    <cfRule type="expression" dxfId="58"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c r="B5" s="215" t="s">
        <v>1130</v>
      </c>
      <c r="C5" s="219" t="s">
        <v>2309</v>
      </c>
      <c r="D5" s="278" t="s">
        <v>2309</v>
      </c>
      <c r="E5" s="215" t="s">
        <v>1098</v>
      </c>
      <c r="F5" s="215" t="s">
        <v>654</v>
      </c>
      <c r="G5" s="215" t="s">
        <v>15618</v>
      </c>
      <c r="H5" s="216" t="s">
        <v>15619</v>
      </c>
      <c r="I5" s="217" t="s">
        <v>1555</v>
      </c>
      <c r="J5" s="217" t="s">
        <v>1556</v>
      </c>
      <c r="K5" s="268"/>
      <c r="L5" s="268"/>
      <c r="M5" s="268"/>
      <c r="N5" s="268"/>
      <c r="O5" s="268"/>
      <c r="P5" s="218"/>
      <c r="Q5" s="269"/>
      <c r="R5" s="215" t="str">
        <f ca="1">IF(ISERROR($V5),"",OFFSET('Smelter Look-up'!$C$4,$V5-4,0)&amp;"")</f>
        <v>Argor-Heraeus S.A.</v>
      </c>
      <c r="S5" s="222" t="str">
        <f t="shared" ref="S5" ca="1" si="0">IF(B5="","",IF(ISERROR(MATCH($E5,CL,0)),"Unknown",INDIRECT("'C'!$A$"&amp;MATCH($E5,CL,0)+1)))</f>
        <v>CH</v>
      </c>
      <c r="T5" s="222" t="str">
        <f ca="1">IF(B5="","",IF(ISERROR(MATCH($J5,SorP!$B$1:$B$6230,0)),"",INDIRECT("'SorP'!$A$"&amp;MATCH($J5,SorP!$B$1:$B$6230,0))))</f>
        <v>CH-TI</v>
      </c>
      <c r="U5" s="238"/>
      <c r="V5" s="270">
        <f>IF(C5="",NA(),MATCH($B5&amp;$C5,'Smelter Look-up'!$J:$J,0))</f>
        <v>25</v>
      </c>
      <c r="W5" s="271"/>
      <c r="X5" s="271">
        <f t="shared" ref="X5" si="1">IF(AND(C5="Smelter not listed",OR(LEN(D5)=0,LEN(E5)=0)),1,0)</f>
        <v>0</v>
      </c>
      <c r="Y5" s="271"/>
      <c r="Z5" s="271"/>
      <c r="AB5" s="273" t="str">
        <f t="shared" ref="AB5" si="2">B5&amp;C5</f>
        <v>GoldArgor-Heraeus S.A.</v>
      </c>
    </row>
    <row r="6" spans="1:34" s="272" customFormat="1" ht="20.100000000000001" customHeight="1">
      <c r="A6" s="324"/>
      <c r="B6" s="215" t="s">
        <v>1131</v>
      </c>
      <c r="C6" s="219" t="s">
        <v>1866</v>
      </c>
      <c r="D6" s="278" t="s">
        <v>15620</v>
      </c>
      <c r="E6" s="215" t="s">
        <v>1105</v>
      </c>
      <c r="F6" s="215" t="s">
        <v>15621</v>
      </c>
      <c r="G6" s="215" t="s">
        <v>13459</v>
      </c>
      <c r="H6" s="216" t="s">
        <v>15619</v>
      </c>
      <c r="I6" s="217" t="s">
        <v>15438</v>
      </c>
      <c r="J6" s="217" t="s">
        <v>13066</v>
      </c>
      <c r="K6" s="268"/>
      <c r="L6" s="268"/>
      <c r="M6" s="268"/>
      <c r="N6" s="268"/>
      <c r="O6" s="268"/>
      <c r="P6" s="218"/>
      <c r="Q6" s="269"/>
      <c r="R6" s="215" t="str">
        <f ca="1">IF(ISERROR($V6),"",OFFSET('Smelter Look-up'!$C$4,$V6-4,0)&amp;"")</f>
        <v/>
      </c>
      <c r="S6" s="222" t="str">
        <f t="shared" ref="S6:S37" ca="1" si="3">IF(B6="","",IF(ISERROR(MATCH($E6,CL,0)),"Unknown",INDIRECT("'C'!$A$"&amp;MATCH($E6,CL,0)+1)))</f>
        <v>ID</v>
      </c>
      <c r="T6" s="222" t="str">
        <f ca="1">IF(B6="","",IF(ISERROR(MATCH($J6,SorP!$B$1:$B$6230,0)),"",INDIRECT("'SorP'!$A$"&amp;MATCH($J6,SorP!$B$1:$B$6230,0))))</f>
        <v>ID-BB</v>
      </c>
      <c r="U6" s="238"/>
      <c r="V6" s="270">
        <f>IF(C6="",NA(),MATCH($B6&amp;$C6,'Smelter Look-up'!$J:$J,0))</f>
        <v>531</v>
      </c>
      <c r="W6" s="271"/>
      <c r="X6" s="271">
        <f t="shared" ref="X6:X37" si="4">IF(AND(C6="Smelter not listed",OR(LEN(D6)=0,LEN(E6)=0)),1,0)</f>
        <v>0</v>
      </c>
      <c r="Y6" s="271"/>
      <c r="Z6" s="271"/>
      <c r="AB6" s="273" t="str">
        <f t="shared" ref="AB6:AB37" si="5">B6&amp;C6</f>
        <v>TinSmelter not listed</v>
      </c>
    </row>
    <row r="7" spans="1:34" s="272" customFormat="1" ht="20.100000000000001" customHeight="1">
      <c r="A7" s="324"/>
      <c r="B7" s="215" t="s">
        <v>1132</v>
      </c>
      <c r="C7" s="219" t="s">
        <v>45</v>
      </c>
      <c r="D7" s="278" t="s">
        <v>45</v>
      </c>
      <c r="E7" s="215" t="s">
        <v>1100</v>
      </c>
      <c r="F7" s="215" t="s">
        <v>749</v>
      </c>
      <c r="G7" s="215" t="s">
        <v>15618</v>
      </c>
      <c r="H7" s="216" t="s">
        <v>15619</v>
      </c>
      <c r="I7" s="217" t="s">
        <v>1728</v>
      </c>
      <c r="J7" s="217" t="s">
        <v>13847</v>
      </c>
      <c r="K7" s="268"/>
      <c r="L7" s="268"/>
      <c r="M7" s="268"/>
      <c r="N7" s="268"/>
      <c r="O7" s="268"/>
      <c r="P7" s="218"/>
      <c r="Q7" s="269"/>
      <c r="R7" s="215" t="str">
        <f ca="1">IF(ISERROR($V7),"",OFFSET('Smelter Look-up'!$C$4,$V7-4,0)&amp;"")</f>
        <v>F&amp;X Electro-Materials Ltd.</v>
      </c>
      <c r="S7" s="222" t="str">
        <f t="shared" ca="1" si="3"/>
        <v>CN</v>
      </c>
      <c r="T7" s="222" t="str">
        <f ca="1">IF(B7="","",IF(ISERROR(MATCH($J7,SorP!$B$1:$B$6230,0)),"",INDIRECT("'SorP'!$A$"&amp;MATCH($J7,SorP!$B$1:$B$6230,0))))</f>
        <v>CN-GD</v>
      </c>
      <c r="U7" s="238"/>
      <c r="V7" s="270">
        <f>IF(C7="",NA(),MATCH($B7&amp;$C7,'Smelter Look-up'!$J:$J,0))</f>
        <v>321</v>
      </c>
      <c r="W7" s="271"/>
      <c r="X7" s="271">
        <f t="shared" si="4"/>
        <v>0</v>
      </c>
      <c r="Y7" s="271"/>
      <c r="Z7" s="271"/>
      <c r="AB7" s="273" t="str">
        <f t="shared" si="5"/>
        <v>TantalumF&amp;X Electro-Materials Ltd.</v>
      </c>
    </row>
    <row r="8" spans="1:34" s="272" customFormat="1" ht="20.100000000000001" customHeight="1">
      <c r="A8" s="324"/>
      <c r="B8" s="215" t="s">
        <v>1131</v>
      </c>
      <c r="C8" s="219" t="s">
        <v>2160</v>
      </c>
      <c r="D8" s="278" t="s">
        <v>2160</v>
      </c>
      <c r="E8" s="215" t="s">
        <v>1100</v>
      </c>
      <c r="F8" s="215" t="s">
        <v>770</v>
      </c>
      <c r="G8" s="215" t="s">
        <v>15618</v>
      </c>
      <c r="H8" s="216" t="s">
        <v>15619</v>
      </c>
      <c r="I8" s="217" t="s">
        <v>2477</v>
      </c>
      <c r="J8" s="217" t="s">
        <v>13851</v>
      </c>
      <c r="K8" s="268"/>
      <c r="L8" s="268"/>
      <c r="M8" s="268"/>
      <c r="N8" s="268"/>
      <c r="O8" s="268"/>
      <c r="P8" s="218"/>
      <c r="Q8" s="269"/>
      <c r="R8" s="215" t="str">
        <f ca="1">IF(ISERROR($V8),"",OFFSET('Smelter Look-up'!$C$4,$V8-4,0)&amp;"")</f>
        <v>Gejiu Non-Ferrous Metal Processing Co., Ltd.</v>
      </c>
      <c r="S8" s="222" t="str">
        <f t="shared" ca="1" si="3"/>
        <v>CN</v>
      </c>
      <c r="T8" s="222" t="str">
        <f ca="1">IF(B8="","",IF(ISERROR(MATCH($J8,SorP!$B$1:$B$6230,0)),"",INDIRECT("'SorP'!$A$"&amp;MATCH($J8,SorP!$B$1:$B$6230,0))))</f>
        <v>CN-YN</v>
      </c>
      <c r="U8" s="238"/>
      <c r="V8" s="270">
        <f>IF(C8="",NA(),MATCH($B8&amp;$C8,'Smelter Look-up'!$J:$J,0))</f>
        <v>428</v>
      </c>
      <c r="W8" s="271"/>
      <c r="X8" s="271">
        <f t="shared" si="4"/>
        <v>0</v>
      </c>
      <c r="Y8" s="271"/>
      <c r="Z8" s="271"/>
      <c r="AB8" s="273" t="str">
        <f t="shared" si="5"/>
        <v>TinGejiu Non-Ferrous Metal Processing Co., Ltd.</v>
      </c>
    </row>
    <row r="9" spans="1:34" s="272" customFormat="1" ht="20.100000000000001" customHeight="1">
      <c r="A9" s="324"/>
      <c r="B9" s="215" t="s">
        <v>1130</v>
      </c>
      <c r="C9" s="219" t="s">
        <v>2532</v>
      </c>
      <c r="D9" s="278" t="s">
        <v>2532</v>
      </c>
      <c r="E9" s="215" t="s">
        <v>1100</v>
      </c>
      <c r="F9" s="215" t="s">
        <v>679</v>
      </c>
      <c r="G9" s="215" t="s">
        <v>15618</v>
      </c>
      <c r="H9" s="216" t="s">
        <v>15619</v>
      </c>
      <c r="I9" s="217" t="s">
        <v>1595</v>
      </c>
      <c r="J9" s="217" t="s">
        <v>14067</v>
      </c>
      <c r="K9" s="268"/>
      <c r="L9" s="268"/>
      <c r="M9" s="268"/>
      <c r="N9" s="268"/>
      <c r="O9" s="268"/>
      <c r="P9" s="218"/>
      <c r="Q9" s="269"/>
      <c r="R9" s="215" t="str">
        <f ca="1">IF(ISERROR($V9),"",OFFSET('Smelter Look-up'!$C$4,$V9-4,0)&amp;"")</f>
        <v>Heraeus Metals Hong Kong Ltd.</v>
      </c>
      <c r="S9" s="222" t="str">
        <f t="shared" ca="1" si="3"/>
        <v>CN</v>
      </c>
      <c r="T9" s="222" t="str">
        <f ca="1">IF(B9="","",IF(ISERROR(MATCH($J9,SorP!$B$1:$B$6230,0)),"",INDIRECT("'SorP'!$A$"&amp;MATCH($J9,SorP!$B$1:$B$6230,0))))</f>
        <v>CN-HK</v>
      </c>
      <c r="U9" s="238"/>
      <c r="V9" s="270">
        <f>IF(C9="",NA(),MATCH($B9&amp;$C9,'Smelter Look-up'!$J:$J,0))</f>
        <v>103</v>
      </c>
      <c r="W9" s="271"/>
      <c r="X9" s="271">
        <f t="shared" si="4"/>
        <v>0</v>
      </c>
      <c r="Y9" s="271"/>
      <c r="Z9" s="271"/>
      <c r="AB9" s="273" t="str">
        <f t="shared" si="5"/>
        <v>GoldHeraeus Metals Hong Kong Ltd.</v>
      </c>
    </row>
    <row r="10" spans="1:34" s="272" customFormat="1" ht="20.100000000000001" customHeight="1">
      <c r="A10" s="324"/>
      <c r="B10" s="215" t="s">
        <v>1130</v>
      </c>
      <c r="C10" s="219" t="s">
        <v>2325</v>
      </c>
      <c r="D10" s="278" t="s">
        <v>2325</v>
      </c>
      <c r="E10" s="215" t="s">
        <v>1100</v>
      </c>
      <c r="F10" s="215" t="s">
        <v>687</v>
      </c>
      <c r="G10" s="215" t="s">
        <v>15618</v>
      </c>
      <c r="H10" s="216" t="s">
        <v>15619</v>
      </c>
      <c r="I10" s="217" t="s">
        <v>1604</v>
      </c>
      <c r="J10" s="217" t="s">
        <v>13842</v>
      </c>
      <c r="K10" s="268"/>
      <c r="L10" s="268"/>
      <c r="M10" s="268"/>
      <c r="N10" s="268"/>
      <c r="O10" s="268"/>
      <c r="P10" s="218"/>
      <c r="Q10" s="269"/>
      <c r="R10" s="215" t="str">
        <f ca="1">IF(ISERROR($V10),"",OFFSET('Smelter Look-up'!$C$4,$V10-4,0)&amp;"")</f>
        <v>Jiangxi Copper Co., Ltd.</v>
      </c>
      <c r="S10" s="222" t="str">
        <f t="shared" ca="1" si="3"/>
        <v>CN</v>
      </c>
      <c r="T10" s="222" t="str">
        <f ca="1">IF(B10="","",IF(ISERROR(MATCH($J10,SorP!$B$1:$B$6230,0)),"",INDIRECT("'SorP'!$A$"&amp;MATCH($J10,SorP!$B$1:$B$6230,0))))</f>
        <v>CN-JX</v>
      </c>
      <c r="U10" s="238"/>
      <c r="V10" s="270">
        <f>IF(C10="",NA(),MATCH($B10&amp;$C10,'Smelter Look-up'!$J:$J,0))</f>
        <v>120</v>
      </c>
      <c r="W10" s="271"/>
      <c r="X10" s="271">
        <f t="shared" si="4"/>
        <v>0</v>
      </c>
      <c r="Y10" s="271"/>
      <c r="Z10" s="271"/>
      <c r="AB10" s="273" t="str">
        <f t="shared" si="5"/>
        <v>GoldJiangxi Copper Co., Ltd.</v>
      </c>
    </row>
    <row r="11" spans="1:34" s="272" customFormat="1" ht="20.100000000000001" customHeight="1">
      <c r="A11" s="324"/>
      <c r="B11" s="215" t="s">
        <v>1132</v>
      </c>
      <c r="C11" s="219" t="s">
        <v>1866</v>
      </c>
      <c r="D11" s="278" t="s">
        <v>15622</v>
      </c>
      <c r="E11" s="215" t="s">
        <v>2463</v>
      </c>
      <c r="F11" s="215" t="s">
        <v>15623</v>
      </c>
      <c r="G11" s="215" t="s">
        <v>13459</v>
      </c>
      <c r="H11" s="216" t="s">
        <v>15619</v>
      </c>
      <c r="I11" s="217" t="s">
        <v>15624</v>
      </c>
      <c r="J11" s="217" t="s">
        <v>1769</v>
      </c>
      <c r="K11" s="268"/>
      <c r="L11" s="268"/>
      <c r="M11" s="268"/>
      <c r="N11" s="268"/>
      <c r="O11" s="268"/>
      <c r="P11" s="218"/>
      <c r="Q11" s="269"/>
      <c r="R11" s="215" t="str">
        <f ca="1">IF(ISERROR($V11),"",OFFSET('Smelter Look-up'!$C$4,$V11-4,0)&amp;"")</f>
        <v/>
      </c>
      <c r="S11" s="222" t="str">
        <f t="shared" ca="1" si="3"/>
        <v>US</v>
      </c>
      <c r="T11" s="222" t="str">
        <f ca="1">IF(B11="","",IF(ISERROR(MATCH($J11,SorP!$B$1:$B$6230,0)),"",INDIRECT("'SorP'!$A$"&amp;MATCH($J11,SorP!$B$1:$B$6230,0))))</f>
        <v>US-NV</v>
      </c>
      <c r="U11" s="238"/>
      <c r="V11" s="270">
        <f>IF(C11="",NA(),MATCH($B11&amp;$C11,'Smelter Look-up'!$J:$J,0))</f>
        <v>381</v>
      </c>
      <c r="W11" s="271"/>
      <c r="X11" s="271">
        <f t="shared" si="4"/>
        <v>0</v>
      </c>
      <c r="Y11" s="271"/>
      <c r="Z11" s="271"/>
      <c r="AB11" s="273" t="str">
        <f t="shared" si="5"/>
        <v>TantalumSmelter not listed</v>
      </c>
    </row>
    <row r="12" spans="1:34" s="272" customFormat="1" ht="20.100000000000001" customHeight="1">
      <c r="A12" s="324"/>
      <c r="B12" s="215" t="s">
        <v>1131</v>
      </c>
      <c r="C12" s="219" t="s">
        <v>821</v>
      </c>
      <c r="D12" s="278" t="s">
        <v>821</v>
      </c>
      <c r="E12" s="215" t="s">
        <v>1115</v>
      </c>
      <c r="F12" s="215" t="s">
        <v>774</v>
      </c>
      <c r="G12" s="215" t="s">
        <v>15618</v>
      </c>
      <c r="H12" s="216" t="s">
        <v>15619</v>
      </c>
      <c r="I12" s="217" t="s">
        <v>1794</v>
      </c>
      <c r="J12" s="217" t="s">
        <v>8868</v>
      </c>
      <c r="K12" s="268"/>
      <c r="L12" s="268"/>
      <c r="M12" s="268"/>
      <c r="N12" s="268"/>
      <c r="O12" s="268"/>
      <c r="P12" s="218"/>
      <c r="Q12" s="269"/>
      <c r="R12" s="215" t="str">
        <f ca="1">IF(ISERROR($V12),"",OFFSET('Smelter Look-up'!$C$4,$V12-4,0)&amp;"")</f>
        <v>Malaysia Smelting Corporation (MSC)</v>
      </c>
      <c r="S12" s="222" t="str">
        <f t="shared" ca="1" si="3"/>
        <v>MY</v>
      </c>
      <c r="T12" s="222" t="str">
        <f ca="1">IF(B12="","",IF(ISERROR(MATCH($J12,SorP!$B$1:$B$6230,0)),"",INDIRECT("'SorP'!$A$"&amp;MATCH($J12,SorP!$B$1:$B$6230,0))))</f>
        <v>MY-07</v>
      </c>
      <c r="U12" s="238"/>
      <c r="V12" s="270">
        <f>IF(C12="",NA(),MATCH($B12&amp;$C12,'Smelter Look-up'!$J:$J,0))</f>
        <v>449</v>
      </c>
      <c r="W12" s="271"/>
      <c r="X12" s="271">
        <f t="shared" si="4"/>
        <v>0</v>
      </c>
      <c r="Y12" s="271"/>
      <c r="Z12" s="271"/>
      <c r="AB12" s="273" t="str">
        <f t="shared" si="5"/>
        <v>TinMalaysia Smelting Corporation (MSC)</v>
      </c>
    </row>
    <row r="13" spans="1:34" s="272" customFormat="1" ht="20.100000000000001" customHeight="1">
      <c r="A13" s="324"/>
      <c r="B13" s="215" t="s">
        <v>1131</v>
      </c>
      <c r="C13" s="219" t="s">
        <v>13149</v>
      </c>
      <c r="D13" s="278" t="s">
        <v>13149</v>
      </c>
      <c r="E13" s="215" t="s">
        <v>1095</v>
      </c>
      <c r="F13" s="215" t="s">
        <v>1830</v>
      </c>
      <c r="G13" s="215" t="s">
        <v>15618</v>
      </c>
      <c r="H13" s="216" t="s">
        <v>15619</v>
      </c>
      <c r="I13" s="217" t="s">
        <v>1831</v>
      </c>
      <c r="J13" s="217" t="s">
        <v>3190</v>
      </c>
      <c r="K13" s="268"/>
      <c r="L13" s="268"/>
      <c r="M13" s="268"/>
      <c r="N13" s="268"/>
      <c r="O13" s="268"/>
      <c r="P13" s="218"/>
      <c r="Q13" s="269"/>
      <c r="R13" s="215" t="str">
        <f ca="1">IF(ISERROR($V13),"",OFFSET('Smelter Look-up'!$C$4,$V13-4,0)&amp;"")</f>
        <v>Metallo Belgium N.V.</v>
      </c>
      <c r="S13" s="222" t="str">
        <f t="shared" ca="1" si="3"/>
        <v>BE</v>
      </c>
      <c r="T13" s="222" t="str">
        <f ca="1">IF(B13="","",IF(ISERROR(MATCH($J13,SorP!$B$1:$B$6230,0)),"",INDIRECT("'SorP'!$A$"&amp;MATCH($J13,SorP!$B$1:$B$6230,0))))</f>
        <v>BE-VAN</v>
      </c>
      <c r="U13" s="238"/>
      <c r="V13" s="270">
        <f>IF(C13="",NA(),MATCH($B13&amp;$C13,'Smelter Look-up'!$J:$J,0))</f>
        <v>454</v>
      </c>
      <c r="W13" s="271"/>
      <c r="X13" s="271">
        <f t="shared" si="4"/>
        <v>0</v>
      </c>
      <c r="Y13" s="271"/>
      <c r="Z13" s="271"/>
      <c r="AB13" s="273" t="str">
        <f t="shared" si="5"/>
        <v>TinMetallo Belgium N.V.</v>
      </c>
    </row>
    <row r="14" spans="1:34" s="272" customFormat="1" ht="20.100000000000001" customHeight="1">
      <c r="A14" s="324"/>
      <c r="B14" s="215" t="s">
        <v>1130</v>
      </c>
      <c r="C14" s="219" t="s">
        <v>2166</v>
      </c>
      <c r="D14" s="278" t="s">
        <v>2166</v>
      </c>
      <c r="E14" s="215" t="s">
        <v>1100</v>
      </c>
      <c r="F14" s="215" t="s">
        <v>705</v>
      </c>
      <c r="G14" s="215" t="s">
        <v>15618</v>
      </c>
      <c r="H14" s="216" t="s">
        <v>15619</v>
      </c>
      <c r="I14" s="217" t="s">
        <v>1628</v>
      </c>
      <c r="J14" s="217" t="s">
        <v>14067</v>
      </c>
      <c r="K14" s="268"/>
      <c r="L14" s="268"/>
      <c r="M14" s="268"/>
      <c r="N14" s="268"/>
      <c r="O14" s="268"/>
      <c r="P14" s="218"/>
      <c r="Q14" s="269"/>
      <c r="R14" s="215" t="str">
        <f ca="1">IF(ISERROR($V14),"",OFFSET('Smelter Look-up'!$C$4,$V14-4,0)&amp;"")</f>
        <v>Metalor Technologies (Hong Kong) Ltd.</v>
      </c>
      <c r="S14" s="222" t="str">
        <f t="shared" ca="1" si="3"/>
        <v>CN</v>
      </c>
      <c r="T14" s="222" t="str">
        <f ca="1">IF(B14="","",IF(ISERROR(MATCH($J14,SorP!$B$1:$B$6230,0)),"",INDIRECT("'SorP'!$A$"&amp;MATCH($J14,SorP!$B$1:$B$6230,0))))</f>
        <v>CN-HK</v>
      </c>
      <c r="U14" s="238"/>
      <c r="V14" s="270">
        <f>IF(C14="",NA(),MATCH($B14&amp;$C14,'Smelter Look-up'!$J:$J,0))</f>
        <v>168</v>
      </c>
      <c r="W14" s="271"/>
      <c r="X14" s="271">
        <f t="shared" si="4"/>
        <v>0</v>
      </c>
      <c r="Y14" s="271"/>
      <c r="Z14" s="271"/>
      <c r="AB14" s="273" t="str">
        <f t="shared" si="5"/>
        <v>GoldMetalor Technologies (Hong Kong) Ltd.</v>
      </c>
    </row>
    <row r="15" spans="1:34" s="272" customFormat="1" ht="20.100000000000001" customHeight="1">
      <c r="A15" s="324"/>
      <c r="B15" s="215" t="s">
        <v>1130</v>
      </c>
      <c r="C15" s="219" t="s">
        <v>2331</v>
      </c>
      <c r="D15" s="278" t="s">
        <v>2331</v>
      </c>
      <c r="E15" s="215" t="s">
        <v>1098</v>
      </c>
      <c r="F15" s="215" t="s">
        <v>707</v>
      </c>
      <c r="G15" s="215" t="s">
        <v>15618</v>
      </c>
      <c r="H15" s="216" t="s">
        <v>15619</v>
      </c>
      <c r="I15" s="217" t="s">
        <v>1629</v>
      </c>
      <c r="J15" s="217" t="s">
        <v>1630</v>
      </c>
      <c r="K15" s="268"/>
      <c r="L15" s="268"/>
      <c r="M15" s="268"/>
      <c r="N15" s="268"/>
      <c r="O15" s="268"/>
      <c r="P15" s="218"/>
      <c r="Q15" s="269"/>
      <c r="R15" s="215" t="str">
        <f ca="1">IF(ISERROR($V15),"",OFFSET('Smelter Look-up'!$C$4,$V15-4,0)&amp;"")</f>
        <v>Metalor Technologies S.A.</v>
      </c>
      <c r="S15" s="222" t="str">
        <f t="shared" ca="1" si="3"/>
        <v>CH</v>
      </c>
      <c r="T15" s="222" t="str">
        <f ca="1">IF(B15="","",IF(ISERROR(MATCH($J15,SorP!$B$1:$B$6230,0)),"",INDIRECT("'SorP'!$A$"&amp;MATCH($J15,SorP!$B$1:$B$6230,0))))</f>
        <v>CH-NE</v>
      </c>
      <c r="U15" s="238"/>
      <c r="V15" s="270">
        <f>IF(C15="",NA(),MATCH($B15&amp;$C15,'Smelter Look-up'!$J:$J,0))</f>
        <v>171</v>
      </c>
      <c r="W15" s="271"/>
      <c r="X15" s="271">
        <f t="shared" si="4"/>
        <v>0</v>
      </c>
      <c r="Y15" s="271"/>
      <c r="Z15" s="271"/>
      <c r="AB15" s="273" t="str">
        <f t="shared" si="5"/>
        <v>GoldMetalor Technologies S.A.</v>
      </c>
    </row>
    <row r="16" spans="1:34" s="272" customFormat="1" ht="20.100000000000001" customHeight="1">
      <c r="A16" s="324"/>
      <c r="B16" s="215" t="s">
        <v>1131</v>
      </c>
      <c r="C16" s="219" t="s">
        <v>12642</v>
      </c>
      <c r="D16" s="278" t="s">
        <v>12642</v>
      </c>
      <c r="E16" s="215" t="s">
        <v>1096</v>
      </c>
      <c r="F16" s="215" t="s">
        <v>775</v>
      </c>
      <c r="G16" s="215" t="s">
        <v>15618</v>
      </c>
      <c r="H16" s="216" t="s">
        <v>15619</v>
      </c>
      <c r="I16" s="217" t="s">
        <v>1797</v>
      </c>
      <c r="J16" s="217" t="s">
        <v>1683</v>
      </c>
      <c r="K16" s="268"/>
      <c r="L16" s="268"/>
      <c r="M16" s="268"/>
      <c r="N16" s="268"/>
      <c r="O16" s="268"/>
      <c r="P16" s="218"/>
      <c r="Q16" s="269"/>
      <c r="R16" s="215" t="str">
        <f ca="1">IF(ISERROR($V16),"",OFFSET('Smelter Look-up'!$C$4,$V16-4,0)&amp;"")</f>
        <v>Mineracao Taboca S.A.</v>
      </c>
      <c r="S16" s="222" t="str">
        <f t="shared" ca="1" si="3"/>
        <v>BR</v>
      </c>
      <c r="T16" s="222" t="str">
        <f ca="1">IF(B16="","",IF(ISERROR(MATCH($J16,SorP!$B$1:$B$6230,0)),"",INDIRECT("'SorP'!$A$"&amp;MATCH($J16,SorP!$B$1:$B$6230,0))))</f>
        <v>BR-SP</v>
      </c>
      <c r="U16" s="238"/>
      <c r="V16" s="270">
        <f>IF(C16="",NA(),MATCH($B16&amp;$C16,'Smelter Look-up'!$J:$J,0))</f>
        <v>456</v>
      </c>
      <c r="W16" s="271"/>
      <c r="X16" s="271">
        <f t="shared" si="4"/>
        <v>0</v>
      </c>
      <c r="Y16" s="271"/>
      <c r="Z16" s="271"/>
      <c r="AB16" s="273" t="str">
        <f t="shared" si="5"/>
        <v>TinMineracao Taboca S.A.</v>
      </c>
    </row>
    <row r="17" spans="1:28" s="272" customFormat="1" ht="20.100000000000001" customHeight="1">
      <c r="A17" s="324"/>
      <c r="B17" s="215" t="s">
        <v>1131</v>
      </c>
      <c r="C17" s="219" t="s">
        <v>1034</v>
      </c>
      <c r="D17" s="278" t="s">
        <v>1034</v>
      </c>
      <c r="E17" s="215" t="s">
        <v>880</v>
      </c>
      <c r="F17" s="215" t="s">
        <v>776</v>
      </c>
      <c r="G17" s="215" t="s">
        <v>15618</v>
      </c>
      <c r="H17" s="216" t="s">
        <v>15619</v>
      </c>
      <c r="I17" s="217" t="s">
        <v>1799</v>
      </c>
      <c r="J17" s="217" t="s">
        <v>9323</v>
      </c>
      <c r="K17" s="268"/>
      <c r="L17" s="268"/>
      <c r="M17" s="268"/>
      <c r="N17" s="268"/>
      <c r="O17" s="268"/>
      <c r="P17" s="218"/>
      <c r="Q17" s="269"/>
      <c r="R17" s="215" t="str">
        <f ca="1">IF(ISERROR($V17),"",OFFSET('Smelter Look-up'!$C$4,$V17-4,0)&amp;"")</f>
        <v>Minsur</v>
      </c>
      <c r="S17" s="222" t="str">
        <f t="shared" ca="1" si="3"/>
        <v>PE</v>
      </c>
      <c r="T17" s="222" t="str">
        <f ca="1">IF(B17="","",IF(ISERROR(MATCH($J17,SorP!$B$1:$B$6230,0)),"",INDIRECT("'SorP'!$A$"&amp;MATCH($J17,SorP!$B$1:$B$6230,0))))</f>
        <v>PE-ICA</v>
      </c>
      <c r="U17" s="238"/>
      <c r="V17" s="270">
        <f>IF(C17="",NA(),MATCH($B17&amp;$C17,'Smelter Look-up'!$J:$J,0))</f>
        <v>460</v>
      </c>
      <c r="W17" s="271"/>
      <c r="X17" s="271">
        <f t="shared" si="4"/>
        <v>0</v>
      </c>
      <c r="Y17" s="271"/>
      <c r="Z17" s="271"/>
      <c r="AB17" s="273" t="str">
        <f t="shared" si="5"/>
        <v>TinMinsur</v>
      </c>
    </row>
    <row r="18" spans="1:28" s="272" customFormat="1" ht="20.100000000000001" customHeight="1">
      <c r="A18" s="214"/>
      <c r="B18" s="215" t="s">
        <v>1131</v>
      </c>
      <c r="C18" s="219" t="s">
        <v>14029</v>
      </c>
      <c r="D18" s="278" t="s">
        <v>14029</v>
      </c>
      <c r="E18" s="215" t="s">
        <v>2461</v>
      </c>
      <c r="F18" s="215" t="s">
        <v>780</v>
      </c>
      <c r="G18" s="215" t="s">
        <v>15618</v>
      </c>
      <c r="H18" s="216" t="s">
        <v>15619</v>
      </c>
      <c r="I18" s="217" t="s">
        <v>1782</v>
      </c>
      <c r="J18" s="217" t="s">
        <v>1782</v>
      </c>
      <c r="K18" s="268"/>
      <c r="L18" s="268"/>
      <c r="M18" s="268"/>
      <c r="N18" s="268"/>
      <c r="O18" s="268"/>
      <c r="P18" s="218"/>
      <c r="Q18" s="269"/>
      <c r="R18" s="215" t="str">
        <f ca="1">IF(ISERROR($V18),"",OFFSET('Smelter Look-up'!$C$4,$V18-4,0)&amp;"")</f>
        <v>Operaciones Metalurgicas S.A.</v>
      </c>
      <c r="S18" s="222" t="str">
        <f t="shared" ca="1" si="3"/>
        <v>BO</v>
      </c>
      <c r="T18" s="222" t="str">
        <f ca="1">IF(B18="","",IF(ISERROR(MATCH($J18,SorP!$B$1:$B$6230,0)),"",INDIRECT("'SorP'!$A$"&amp;MATCH($J18,SorP!$B$1:$B$6230,0))))</f>
        <v>BO-O</v>
      </c>
      <c r="U18" s="238"/>
      <c r="V18" s="270">
        <f>IF(C18="",NA(),MATCH($B18&amp;$C18,'Smelter Look-up'!$J:$J,0))</f>
        <v>471</v>
      </c>
      <c r="W18" s="271"/>
      <c r="X18" s="271">
        <f t="shared" si="4"/>
        <v>0</v>
      </c>
      <c r="Y18" s="271"/>
      <c r="Z18" s="271"/>
      <c r="AB18" s="273" t="str">
        <f t="shared" si="5"/>
        <v>TinOperaciones Metalurgicas S.A.</v>
      </c>
    </row>
    <row r="19" spans="1:28" s="272" customFormat="1" ht="25.5">
      <c r="A19" s="214"/>
      <c r="B19" s="215" t="s">
        <v>1130</v>
      </c>
      <c r="C19" s="219" t="s">
        <v>2339</v>
      </c>
      <c r="D19" s="278" t="s">
        <v>2339</v>
      </c>
      <c r="E19" s="215" t="s">
        <v>1098</v>
      </c>
      <c r="F19" s="215" t="s">
        <v>718</v>
      </c>
      <c r="G19" s="215" t="s">
        <v>15618</v>
      </c>
      <c r="H19" s="216" t="s">
        <v>15619</v>
      </c>
      <c r="I19" s="217" t="s">
        <v>1647</v>
      </c>
      <c r="J19" s="217" t="s">
        <v>1556</v>
      </c>
      <c r="K19" s="268"/>
      <c r="L19" s="268"/>
      <c r="M19" s="268"/>
      <c r="N19" s="268"/>
      <c r="O19" s="268"/>
      <c r="P19" s="218"/>
      <c r="Q19" s="269"/>
      <c r="R19" s="215" t="str">
        <f ca="1">IF(ISERROR($V19),"",OFFSET('Smelter Look-up'!$C$4,$V19-4,0)&amp;"")</f>
        <v>PAMP S.A.</v>
      </c>
      <c r="S19" s="222" t="str">
        <f t="shared" ca="1" si="3"/>
        <v>CH</v>
      </c>
      <c r="T19" s="222" t="str">
        <f ca="1">IF(B19="","",IF(ISERROR(MATCH($J19,SorP!$B$1:$B$6230,0)),"",INDIRECT("'SorP'!$A$"&amp;MATCH($J19,SorP!$B$1:$B$6230,0))))</f>
        <v>CH-TI</v>
      </c>
      <c r="U19" s="238"/>
      <c r="V19" s="270">
        <f>IF(C19="",NA(),MATCH($B19&amp;$C19,'Smelter Look-up'!$J:$J,0))</f>
        <v>197</v>
      </c>
      <c r="W19" s="271"/>
      <c r="X19" s="271">
        <f t="shared" si="4"/>
        <v>0</v>
      </c>
      <c r="Y19" s="271"/>
      <c r="Z19" s="271"/>
      <c r="AB19" s="273" t="str">
        <f t="shared" si="5"/>
        <v>GoldPAMP S.A.</v>
      </c>
    </row>
    <row r="20" spans="1:28" s="272" customFormat="1" ht="38.25">
      <c r="A20" s="214"/>
      <c r="B20" s="215" t="s">
        <v>1131</v>
      </c>
      <c r="C20" s="219" t="s">
        <v>1866</v>
      </c>
      <c r="D20" s="278" t="s">
        <v>15625</v>
      </c>
      <c r="E20" s="215" t="s">
        <v>1105</v>
      </c>
      <c r="F20" s="215" t="s">
        <v>15626</v>
      </c>
      <c r="G20" s="215" t="s">
        <v>13459</v>
      </c>
      <c r="H20" s="216" t="s">
        <v>15619</v>
      </c>
      <c r="I20" s="217" t="s">
        <v>15438</v>
      </c>
      <c r="J20" s="217" t="s">
        <v>13066</v>
      </c>
      <c r="K20" s="268"/>
      <c r="L20" s="268"/>
      <c r="M20" s="268"/>
      <c r="N20" s="268"/>
      <c r="O20" s="268"/>
      <c r="P20" s="218"/>
      <c r="Q20" s="269"/>
      <c r="R20" s="215" t="str">
        <f ca="1">IF(ISERROR($V20),"",OFFSET('Smelter Look-up'!$C$4,$V20-4,0)&amp;"")</f>
        <v/>
      </c>
      <c r="S20" s="222" t="str">
        <f t="shared" ca="1" si="3"/>
        <v>ID</v>
      </c>
      <c r="T20" s="222" t="str">
        <f ca="1">IF(B20="","",IF(ISERROR(MATCH($J20,SorP!$B$1:$B$6230,0)),"",INDIRECT("'SorP'!$A$"&amp;MATCH($J20,SorP!$B$1:$B$6230,0))))</f>
        <v>ID-BB</v>
      </c>
      <c r="U20" s="238"/>
      <c r="V20" s="270">
        <f>IF(C20="",NA(),MATCH($B20&amp;$C20,'Smelter Look-up'!$J:$J,0))</f>
        <v>531</v>
      </c>
      <c r="W20" s="271"/>
      <c r="X20" s="271">
        <f t="shared" si="4"/>
        <v>0</v>
      </c>
      <c r="Y20" s="271"/>
      <c r="Z20" s="271"/>
      <c r="AB20" s="273" t="str">
        <f t="shared" si="5"/>
        <v>TinSmelter not listed</v>
      </c>
    </row>
    <row r="21" spans="1:28" s="272" customFormat="1" ht="51">
      <c r="A21" s="214"/>
      <c r="B21" s="215" t="s">
        <v>1131</v>
      </c>
      <c r="C21" s="219" t="s">
        <v>2173</v>
      </c>
      <c r="D21" s="278" t="s">
        <v>2173</v>
      </c>
      <c r="E21" s="215" t="s">
        <v>1105</v>
      </c>
      <c r="F21" s="215" t="s">
        <v>783</v>
      </c>
      <c r="G21" s="215" t="s">
        <v>15618</v>
      </c>
      <c r="H21" s="216" t="s">
        <v>15619</v>
      </c>
      <c r="I21" s="217" t="s">
        <v>1780</v>
      </c>
      <c r="J21" s="217" t="s">
        <v>13066</v>
      </c>
      <c r="K21" s="268"/>
      <c r="L21" s="268"/>
      <c r="M21" s="268"/>
      <c r="N21" s="268"/>
      <c r="O21" s="268"/>
      <c r="P21" s="218"/>
      <c r="Q21" s="269"/>
      <c r="R21" s="215" t="str">
        <f ca="1">IF(ISERROR($V21),"",OFFSET('Smelter Look-up'!$C$4,$V21-4,0)&amp;"")</f>
        <v>PT Refined Bangka Tin</v>
      </c>
      <c r="S21" s="222" t="str">
        <f t="shared" ca="1" si="3"/>
        <v>ID</v>
      </c>
      <c r="T21" s="222" t="str">
        <f ca="1">IF(B21="","",IF(ISERROR(MATCH($J21,SorP!$B$1:$B$6230,0)),"",INDIRECT("'SorP'!$A$"&amp;MATCH($J21,SorP!$B$1:$B$6230,0))))</f>
        <v>ID-BB</v>
      </c>
      <c r="U21" s="238"/>
      <c r="V21" s="270">
        <f>IF(C21="",NA(),MATCH($B21&amp;$C21,'Smelter Look-up'!$J:$J,0))</f>
        <v>487</v>
      </c>
      <c r="W21" s="271"/>
      <c r="X21" s="271">
        <f t="shared" si="4"/>
        <v>0</v>
      </c>
      <c r="Y21" s="271"/>
      <c r="Z21" s="271"/>
      <c r="AB21" s="273" t="str">
        <f t="shared" si="5"/>
        <v>TinPT Refined Bangka Tin</v>
      </c>
    </row>
    <row r="22" spans="1:28" s="272" customFormat="1" ht="51">
      <c r="A22" s="214"/>
      <c r="B22" s="215" t="s">
        <v>1131</v>
      </c>
      <c r="C22" s="219" t="s">
        <v>15405</v>
      </c>
      <c r="D22" s="278" t="s">
        <v>15405</v>
      </c>
      <c r="E22" s="215" t="s">
        <v>1105</v>
      </c>
      <c r="F22" s="215" t="s">
        <v>15406</v>
      </c>
      <c r="G22" s="215" t="s">
        <v>15618</v>
      </c>
      <c r="H22" s="216" t="s">
        <v>15619</v>
      </c>
      <c r="I22" s="217" t="s">
        <v>15438</v>
      </c>
      <c r="J22" s="217" t="s">
        <v>13066</v>
      </c>
      <c r="K22" s="268"/>
      <c r="L22" s="268"/>
      <c r="M22" s="268"/>
      <c r="N22" s="268"/>
      <c r="O22" s="268"/>
      <c r="P22" s="218"/>
      <c r="Q22" s="269"/>
      <c r="R22" s="215" t="str">
        <f ca="1">IF(ISERROR($V22),"",OFFSET('Smelter Look-up'!$C$4,$V22-4,0)&amp;"")</f>
        <v>PT Stanindo Inti Perkasa</v>
      </c>
      <c r="S22" s="222" t="str">
        <f t="shared" ca="1" si="3"/>
        <v>ID</v>
      </c>
      <c r="T22" s="222" t="str">
        <f ca="1">IF(B22="","",IF(ISERROR(MATCH($J22,SorP!$B$1:$B$6230,0)),"",INDIRECT("'SorP'!$A$"&amp;MATCH($J22,SorP!$B$1:$B$6230,0))))</f>
        <v>ID-BB</v>
      </c>
      <c r="U22" s="238"/>
      <c r="V22" s="270">
        <f>IF(C22="",NA(),MATCH($B22&amp;$C22,'Smelter Look-up'!$J:$J,0))</f>
        <v>488</v>
      </c>
      <c r="W22" s="271"/>
      <c r="X22" s="271">
        <f t="shared" si="4"/>
        <v>0</v>
      </c>
      <c r="Y22" s="271"/>
      <c r="Z22" s="271"/>
      <c r="AB22" s="273" t="str">
        <f t="shared" si="5"/>
        <v>TinPT Stanindo Inti Perkasa</v>
      </c>
    </row>
    <row r="23" spans="1:28" s="272" customFormat="1" ht="51">
      <c r="A23" s="214"/>
      <c r="B23" s="215" t="s">
        <v>1131</v>
      </c>
      <c r="C23" s="219" t="s">
        <v>14026</v>
      </c>
      <c r="D23" s="278" t="s">
        <v>14026</v>
      </c>
      <c r="E23" s="215" t="s">
        <v>1105</v>
      </c>
      <c r="F23" s="215" t="s">
        <v>804</v>
      </c>
      <c r="G23" s="215" t="s">
        <v>15618</v>
      </c>
      <c r="H23" s="216" t="s">
        <v>15619</v>
      </c>
      <c r="I23" s="217" t="s">
        <v>1806</v>
      </c>
      <c r="J23" s="217" t="s">
        <v>6135</v>
      </c>
      <c r="K23" s="268"/>
      <c r="L23" s="268"/>
      <c r="M23" s="268"/>
      <c r="N23" s="268"/>
      <c r="O23" s="268"/>
      <c r="P23" s="218"/>
      <c r="Q23" s="269"/>
      <c r="R23" s="215" t="str">
        <f ca="1">IF(ISERROR($V23),"",OFFSET('Smelter Look-up'!$C$4,$V23-4,0)&amp;"")</f>
        <v>PT Timah Tbk Kundur</v>
      </c>
      <c r="S23" s="222" t="str">
        <f t="shared" ca="1" si="3"/>
        <v>ID</v>
      </c>
      <c r="T23" s="222" t="str">
        <f ca="1">IF(B23="","",IF(ISERROR(MATCH($J23,SorP!$B$1:$B$6230,0)),"",INDIRECT("'SorP'!$A$"&amp;MATCH($J23,SorP!$B$1:$B$6230,0))))</f>
        <v>ID-RI</v>
      </c>
      <c r="U23" s="238"/>
      <c r="V23" s="270">
        <f>IF(C23="",NA(),MATCH($B23&amp;$C23,'Smelter Look-up'!$J:$J,0))</f>
        <v>491</v>
      </c>
      <c r="W23" s="271"/>
      <c r="X23" s="271">
        <f t="shared" si="4"/>
        <v>0</v>
      </c>
      <c r="Y23" s="271"/>
      <c r="Z23" s="271"/>
      <c r="AB23" s="273" t="str">
        <f t="shared" si="5"/>
        <v>TinPT Timah Tbk Kundur</v>
      </c>
    </row>
    <row r="24" spans="1:28" s="272" customFormat="1" ht="51">
      <c r="A24" s="214"/>
      <c r="B24" s="215" t="s">
        <v>1131</v>
      </c>
      <c r="C24" s="219" t="s">
        <v>14025</v>
      </c>
      <c r="D24" s="278" t="s">
        <v>14025</v>
      </c>
      <c r="E24" s="215" t="s">
        <v>1105</v>
      </c>
      <c r="F24" s="215" t="s">
        <v>784</v>
      </c>
      <c r="G24" s="215" t="s">
        <v>15618</v>
      </c>
      <c r="H24" s="216" t="s">
        <v>15619</v>
      </c>
      <c r="I24" s="217" t="s">
        <v>1808</v>
      </c>
      <c r="J24" s="217" t="s">
        <v>13066</v>
      </c>
      <c r="K24" s="268"/>
      <c r="L24" s="268"/>
      <c r="M24" s="268"/>
      <c r="N24" s="268"/>
      <c r="O24" s="268"/>
      <c r="P24" s="218"/>
      <c r="Q24" s="269"/>
      <c r="R24" s="215" t="str">
        <f ca="1">IF(ISERROR($V24),"",OFFSET('Smelter Look-up'!$C$4,$V24-4,0)&amp;"")</f>
        <v>PT Timah Tbk Mentok</v>
      </c>
      <c r="S24" s="222" t="str">
        <f t="shared" ca="1" si="3"/>
        <v>ID</v>
      </c>
      <c r="T24" s="222" t="str">
        <f ca="1">IF(B24="","",IF(ISERROR(MATCH($J24,SorP!$B$1:$B$6230,0)),"",INDIRECT("'SorP'!$A$"&amp;MATCH($J24,SorP!$B$1:$B$6230,0))))</f>
        <v>ID-BB</v>
      </c>
      <c r="U24" s="238"/>
      <c r="V24" s="270">
        <f>IF(C24="",NA(),MATCH($B24&amp;$C24,'Smelter Look-up'!$J:$J,0))</f>
        <v>492</v>
      </c>
      <c r="W24" s="271"/>
      <c r="X24" s="271">
        <f t="shared" si="4"/>
        <v>0</v>
      </c>
      <c r="Y24" s="271"/>
      <c r="Z24" s="271"/>
      <c r="AB24" s="273" t="str">
        <f t="shared" si="5"/>
        <v>TinPT Timah Tbk Mentok</v>
      </c>
    </row>
    <row r="25" spans="1:28" s="272" customFormat="1" ht="63.75">
      <c r="A25" s="214"/>
      <c r="B25" s="215" t="s">
        <v>1130</v>
      </c>
      <c r="C25" s="219" t="s">
        <v>2174</v>
      </c>
      <c r="D25" s="278" t="s">
        <v>2174</v>
      </c>
      <c r="E25" s="215" t="s">
        <v>893</v>
      </c>
      <c r="F25" s="215" t="s">
        <v>723</v>
      </c>
      <c r="G25" s="215" t="s">
        <v>15618</v>
      </c>
      <c r="H25" s="216" t="s">
        <v>15619</v>
      </c>
      <c r="I25" s="217" t="s">
        <v>1651</v>
      </c>
      <c r="J25" s="217" t="s">
        <v>1652</v>
      </c>
      <c r="K25" s="268"/>
      <c r="L25" s="268"/>
      <c r="M25" s="268"/>
      <c r="N25" s="268"/>
      <c r="O25" s="268"/>
      <c r="P25" s="218"/>
      <c r="Q25" s="269"/>
      <c r="R25" s="215" t="str">
        <f ca="1">IF(ISERROR($V25),"",OFFSET('Smelter Look-up'!$C$4,$V25-4,0)&amp;"")</f>
        <v>Rand Refinery (Pty) Ltd.</v>
      </c>
      <c r="S25" s="222" t="str">
        <f t="shared" ca="1" si="3"/>
        <v>ZA</v>
      </c>
      <c r="T25" s="222" t="str">
        <f ca="1">IF(B25="","",IF(ISERROR(MATCH($J25,SorP!$B$1:$B$6230,0)),"",INDIRECT("'SorP'!$A$"&amp;MATCH($J25,SorP!$B$1:$B$6230,0))))</f>
        <v>ZA-GT</v>
      </c>
      <c r="U25" s="238"/>
      <c r="V25" s="270">
        <f>IF(C25="",NA(),MATCH($B25&amp;$C25,'Smelter Look-up'!$J:$J,0))</f>
        <v>210</v>
      </c>
      <c r="W25" s="271"/>
      <c r="X25" s="271">
        <f t="shared" si="4"/>
        <v>0</v>
      </c>
      <c r="Y25" s="271"/>
      <c r="Z25" s="271"/>
      <c r="AB25" s="273" t="str">
        <f t="shared" si="5"/>
        <v>GoldRand Refinery (Pty) Ltd.</v>
      </c>
    </row>
    <row r="26" spans="1:28" s="272" customFormat="1" ht="102">
      <c r="A26" s="214"/>
      <c r="B26" s="215" t="s">
        <v>1130</v>
      </c>
      <c r="C26" s="219" t="s">
        <v>2176</v>
      </c>
      <c r="D26" s="278" t="s">
        <v>2176</v>
      </c>
      <c r="E26" s="215" t="s">
        <v>1100</v>
      </c>
      <c r="F26" s="215" t="s">
        <v>728</v>
      </c>
      <c r="G26" s="215" t="s">
        <v>15618</v>
      </c>
      <c r="H26" s="216" t="s">
        <v>15619</v>
      </c>
      <c r="I26" s="217" t="s">
        <v>1592</v>
      </c>
      <c r="J26" s="217" t="s">
        <v>13843</v>
      </c>
      <c r="K26" s="268"/>
      <c r="L26" s="268"/>
      <c r="M26" s="268"/>
      <c r="N26" s="268"/>
      <c r="O26" s="268"/>
      <c r="P26" s="218"/>
      <c r="Q26" s="269"/>
      <c r="R26" s="215" t="str">
        <f ca="1">IF(ISERROR($V26),"",OFFSET('Smelter Look-up'!$C$4,$V26-4,0)&amp;"")</f>
        <v>Shandong Zhaojin Gold &amp; Silver Refinery Co., Ltd.</v>
      </c>
      <c r="S26" s="222" t="str">
        <f t="shared" ca="1" si="3"/>
        <v>CN</v>
      </c>
      <c r="T26" s="222" t="str">
        <f ca="1">IF(B26="","",IF(ISERROR(MATCH($J26,SorP!$B$1:$B$6230,0)),"",INDIRECT("'SorP'!$A$"&amp;MATCH($J26,SorP!$B$1:$B$6230,0))))</f>
        <v>CN-SD</v>
      </c>
      <c r="U26" s="238"/>
      <c r="V26" s="270">
        <f>IF(C26="",NA(),MATCH($B26&amp;$C26,'Smelter Look-up'!$J:$J,0))</f>
        <v>241</v>
      </c>
      <c r="W26" s="271"/>
      <c r="X26" s="271">
        <f t="shared" si="4"/>
        <v>0</v>
      </c>
      <c r="Y26" s="271"/>
      <c r="Z26" s="271"/>
      <c r="AB26" s="273" t="str">
        <f t="shared" si="5"/>
        <v>GoldShandong Zhaojin Gold &amp; Silver Refinery Co., Ltd.</v>
      </c>
    </row>
    <row r="27" spans="1:28" s="272" customFormat="1" ht="25.5">
      <c r="A27" s="214"/>
      <c r="B27" s="215" t="s">
        <v>1131</v>
      </c>
      <c r="C27" s="219" t="s">
        <v>1031</v>
      </c>
      <c r="D27" s="278" t="s">
        <v>1031</v>
      </c>
      <c r="E27" s="215" t="s">
        <v>888</v>
      </c>
      <c r="F27" s="215" t="s">
        <v>788</v>
      </c>
      <c r="G27" s="215" t="s">
        <v>15618</v>
      </c>
      <c r="H27" s="216" t="s">
        <v>15619</v>
      </c>
      <c r="I27" s="217" t="s">
        <v>1810</v>
      </c>
      <c r="J27" s="217" t="s">
        <v>1811</v>
      </c>
      <c r="K27" s="268"/>
      <c r="L27" s="268"/>
      <c r="M27" s="268"/>
      <c r="N27" s="268"/>
      <c r="O27" s="268"/>
      <c r="P27" s="218"/>
      <c r="Q27" s="269"/>
      <c r="R27" s="215" t="str">
        <f ca="1">IF(ISERROR($V27),"",OFFSET('Smelter Look-up'!$C$4,$V27-4,0)&amp;"")</f>
        <v>Thaisarco</v>
      </c>
      <c r="S27" s="222" t="str">
        <f t="shared" ca="1" si="3"/>
        <v>TH</v>
      </c>
      <c r="T27" s="222" t="str">
        <f ca="1">IF(B27="","",IF(ISERROR(MATCH($J27,SorP!$B$1:$B$6230,0)),"",INDIRECT("'SorP'!$A$"&amp;MATCH($J27,SorP!$B$1:$B$6230,0))))</f>
        <v>TH-83</v>
      </c>
      <c r="U27" s="238"/>
      <c r="V27" s="270">
        <f>IF(C27="",NA(),MATCH($B27&amp;$C27,'Smelter Look-up'!$J:$J,0))</f>
        <v>504</v>
      </c>
      <c r="W27" s="271"/>
      <c r="X27" s="271">
        <f t="shared" si="4"/>
        <v>0</v>
      </c>
      <c r="Y27" s="271"/>
      <c r="Z27" s="271"/>
      <c r="AB27" s="273" t="str">
        <f t="shared" si="5"/>
        <v>TinThaisarco</v>
      </c>
    </row>
    <row r="28" spans="1:28" s="272" customFormat="1" ht="76.5">
      <c r="A28" s="214"/>
      <c r="B28" s="215" t="s">
        <v>1130</v>
      </c>
      <c r="C28" s="219" t="s">
        <v>15324</v>
      </c>
      <c r="D28" s="278" t="s">
        <v>2179</v>
      </c>
      <c r="E28" s="215" t="s">
        <v>1100</v>
      </c>
      <c r="F28" s="215" t="s">
        <v>734</v>
      </c>
      <c r="G28" s="215" t="s">
        <v>15618</v>
      </c>
      <c r="H28" s="216" t="s">
        <v>15619</v>
      </c>
      <c r="I28" s="217" t="s">
        <v>1663</v>
      </c>
      <c r="J28" s="217" t="s">
        <v>13843</v>
      </c>
      <c r="K28" s="268"/>
      <c r="L28" s="268"/>
      <c r="M28" s="268"/>
      <c r="N28" s="268"/>
      <c r="O28" s="268"/>
      <c r="P28" s="218"/>
      <c r="Q28" s="269"/>
      <c r="R28" s="215" t="str">
        <f ca="1">IF(ISERROR($V28),"",OFFSET('Smelter Look-up'!$C$4,$V28-4,0)&amp;"")</f>
        <v>Shandong Gold Smelting Co., Ltd.</v>
      </c>
      <c r="S28" s="222" t="str">
        <f t="shared" ca="1" si="3"/>
        <v>CN</v>
      </c>
      <c r="T28" s="222" t="str">
        <f ca="1">IF(B28="","",IF(ISERROR(MATCH($J28,SorP!$B$1:$B$6230,0)),"",INDIRECT("'SorP'!$A$"&amp;MATCH($J28,SorP!$B$1:$B$6230,0))))</f>
        <v>CN-SD</v>
      </c>
      <c r="U28" s="238"/>
      <c r="V28" s="270">
        <f>IF(C28="",NA(),MATCH($B28&amp;$C28,'Smelter Look-up'!$J:$J,0))</f>
        <v>234</v>
      </c>
      <c r="W28" s="271"/>
      <c r="X28" s="271">
        <f t="shared" si="4"/>
        <v>0</v>
      </c>
      <c r="Y28" s="271"/>
      <c r="Z28" s="271"/>
      <c r="AB28" s="273" t="str">
        <f t="shared" si="5"/>
        <v>GoldShandong Gold Smelting Co., Ltd.</v>
      </c>
    </row>
    <row r="29" spans="1:28" s="272" customFormat="1" ht="38.25">
      <c r="A29" s="214"/>
      <c r="B29" s="215" t="s">
        <v>1130</v>
      </c>
      <c r="C29" s="219" t="s">
        <v>2360</v>
      </c>
      <c r="D29" s="278" t="s">
        <v>2360</v>
      </c>
      <c r="E29" s="215" t="s">
        <v>1098</v>
      </c>
      <c r="F29" s="215" t="s">
        <v>740</v>
      </c>
      <c r="G29" s="215" t="s">
        <v>15618</v>
      </c>
      <c r="H29" s="216" t="s">
        <v>15619</v>
      </c>
      <c r="I29" s="217" t="s">
        <v>1687</v>
      </c>
      <c r="J29" s="217" t="s">
        <v>1556</v>
      </c>
      <c r="K29" s="268"/>
      <c r="L29" s="268"/>
      <c r="M29" s="268"/>
      <c r="N29" s="268"/>
      <c r="O29" s="268"/>
      <c r="P29" s="218"/>
      <c r="Q29" s="269"/>
      <c r="R29" s="215" t="str">
        <f ca="1">IF(ISERROR($V29),"",OFFSET('Smelter Look-up'!$C$4,$V29-4,0)&amp;"")</f>
        <v>Valcambi S.A.</v>
      </c>
      <c r="S29" s="222" t="str">
        <f t="shared" ca="1" si="3"/>
        <v>CH</v>
      </c>
      <c r="T29" s="222" t="str">
        <f ca="1">IF(B29="","",IF(ISERROR(MATCH($J29,SorP!$B$1:$B$6230,0)),"",INDIRECT("'SorP'!$A$"&amp;MATCH($J29,SorP!$B$1:$B$6230,0))))</f>
        <v>CH-TI</v>
      </c>
      <c r="U29" s="238"/>
      <c r="V29" s="270">
        <f>IF(C29="",NA(),MATCH($B29&amp;$C29,'Smelter Look-up'!$J:$J,0))</f>
        <v>288</v>
      </c>
      <c r="W29" s="271"/>
      <c r="X29" s="271">
        <f t="shared" si="4"/>
        <v>0</v>
      </c>
      <c r="Y29" s="271"/>
      <c r="Z29" s="271"/>
      <c r="AB29" s="273" t="str">
        <f t="shared" si="5"/>
        <v>GoldValcambi S.A.</v>
      </c>
    </row>
    <row r="30" spans="1:28" s="272" customFormat="1" ht="102">
      <c r="A30" s="214"/>
      <c r="B30" s="215" t="s">
        <v>1131</v>
      </c>
      <c r="C30" s="219" t="s">
        <v>2183</v>
      </c>
      <c r="D30" s="278" t="s">
        <v>2183</v>
      </c>
      <c r="E30" s="215" t="s">
        <v>1100</v>
      </c>
      <c r="F30" s="215" t="s">
        <v>790</v>
      </c>
      <c r="G30" s="215" t="s">
        <v>15618</v>
      </c>
      <c r="H30" s="216" t="s">
        <v>15619</v>
      </c>
      <c r="I30" s="217" t="s">
        <v>2477</v>
      </c>
      <c r="J30" s="217" t="s">
        <v>13851</v>
      </c>
      <c r="K30" s="268"/>
      <c r="L30" s="268"/>
      <c r="M30" s="268"/>
      <c r="N30" s="268"/>
      <c r="O30" s="268"/>
      <c r="P30" s="218"/>
      <c r="Q30" s="269"/>
      <c r="R30" s="215" t="str">
        <f ca="1">IF(ISERROR($V30),"",OFFSET('Smelter Look-up'!$C$4,$V30-4,0)&amp;"")</f>
        <v>Yunnan Chengfeng Non-ferrous Metals Co., Ltd.</v>
      </c>
      <c r="S30" s="222" t="str">
        <f t="shared" ca="1" si="3"/>
        <v>CN</v>
      </c>
      <c r="T30" s="222" t="str">
        <f ca="1">IF(B30="","",IF(ISERROR(MATCH($J30,SorP!$B$1:$B$6230,0)),"",INDIRECT("'SorP'!$A$"&amp;MATCH($J30,SorP!$B$1:$B$6230,0))))</f>
        <v>CN-YN</v>
      </c>
      <c r="U30" s="238"/>
      <c r="V30" s="270">
        <f>IF(C30="",NA(),MATCH($B30&amp;$C30,'Smelter Look-up'!$J:$J,0))</f>
        <v>520</v>
      </c>
      <c r="W30" s="271"/>
      <c r="X30" s="271">
        <f t="shared" si="4"/>
        <v>0</v>
      </c>
      <c r="Y30" s="271"/>
      <c r="Z30" s="271"/>
      <c r="AB30" s="273" t="str">
        <f t="shared" si="5"/>
        <v>TinYunnan Chengfeng Non-ferrous Metals Co., Ltd.</v>
      </c>
    </row>
    <row r="31" spans="1:28" s="272" customFormat="1" ht="63.75">
      <c r="A31" s="214"/>
      <c r="B31" s="215" t="s">
        <v>1131</v>
      </c>
      <c r="C31" s="219" t="s">
        <v>2370</v>
      </c>
      <c r="D31" s="278" t="s">
        <v>2370</v>
      </c>
      <c r="E31" s="215" t="s">
        <v>1100</v>
      </c>
      <c r="F31" s="215" t="s">
        <v>791</v>
      </c>
      <c r="G31" s="215" t="s">
        <v>15618</v>
      </c>
      <c r="H31" s="216" t="s">
        <v>15619</v>
      </c>
      <c r="I31" s="217" t="s">
        <v>2477</v>
      </c>
      <c r="J31" s="217" t="s">
        <v>13851</v>
      </c>
      <c r="K31" s="268"/>
      <c r="L31" s="268"/>
      <c r="M31" s="268"/>
      <c r="N31" s="268"/>
      <c r="O31" s="268"/>
      <c r="P31" s="218"/>
      <c r="Q31" s="269"/>
      <c r="R31" s="215" t="str">
        <f ca="1">IF(ISERROR($V31),"",OFFSET('Smelter Look-up'!$C$4,$V31-4,0)&amp;"")</f>
        <v>Yunnan Tin Company Limited</v>
      </c>
      <c r="S31" s="222" t="str">
        <f t="shared" ca="1" si="3"/>
        <v>CN</v>
      </c>
      <c r="T31" s="222" t="str">
        <f ca="1">IF(B31="","",IF(ISERROR(MATCH($J31,SorP!$B$1:$B$6230,0)),"",INDIRECT("'SorP'!$A$"&amp;MATCH($J31,SorP!$B$1:$B$6230,0))))</f>
        <v>CN-YN</v>
      </c>
      <c r="U31" s="238"/>
      <c r="V31" s="270">
        <f>IF(C31="",NA(),MATCH($B31&amp;$C31,'Smelter Look-up'!$J:$J,0))</f>
        <v>524</v>
      </c>
      <c r="W31" s="271"/>
      <c r="X31" s="271">
        <f t="shared" si="4"/>
        <v>0</v>
      </c>
      <c r="Y31" s="271"/>
      <c r="Z31" s="271"/>
      <c r="AB31" s="273" t="str">
        <f t="shared" si="5"/>
        <v>TinYunnan Tin Company Limited</v>
      </c>
    </row>
    <row r="32" spans="1:28" s="272" customFormat="1" ht="114.75">
      <c r="A32" s="214"/>
      <c r="B32" s="215" t="s">
        <v>1130</v>
      </c>
      <c r="C32" s="219" t="s">
        <v>1325</v>
      </c>
      <c r="D32" s="278" t="s">
        <v>1325</v>
      </c>
      <c r="E32" s="215" t="s">
        <v>1100</v>
      </c>
      <c r="F32" s="215" t="s">
        <v>745</v>
      </c>
      <c r="G32" s="215" t="s">
        <v>15618</v>
      </c>
      <c r="H32" s="216" t="s">
        <v>15619</v>
      </c>
      <c r="I32" s="217" t="s">
        <v>1695</v>
      </c>
      <c r="J32" s="217" t="s">
        <v>13844</v>
      </c>
      <c r="K32" s="268"/>
      <c r="L32" s="268"/>
      <c r="M32" s="268"/>
      <c r="N32" s="268"/>
      <c r="O32" s="268"/>
      <c r="P32" s="218"/>
      <c r="Q32" s="269"/>
      <c r="R32" s="215" t="str">
        <f ca="1">IF(ISERROR($V32),"",OFFSET('Smelter Look-up'!$C$4,$V32-4,0)&amp;"")</f>
        <v>Zhongyuan Gold Smelter of Zhongjin Gold Corporation</v>
      </c>
      <c r="S32" s="222" t="str">
        <f t="shared" ca="1" si="3"/>
        <v>CN</v>
      </c>
      <c r="T32" s="222" t="str">
        <f ca="1">IF(B32="","",IF(ISERROR(MATCH($J32,SorP!$B$1:$B$6230,0)),"",INDIRECT("'SorP'!$A$"&amp;MATCH($J32,SorP!$B$1:$B$6230,0))))</f>
        <v>CN-HA</v>
      </c>
      <c r="U32" s="238"/>
      <c r="V32" s="270">
        <f>IF(C32="",NA(),MATCH($B32&amp;$C32,'Smelter Look-up'!$J:$J,0))</f>
        <v>310</v>
      </c>
      <c r="W32" s="271"/>
      <c r="X32" s="271">
        <f t="shared" si="4"/>
        <v>0</v>
      </c>
      <c r="Y32" s="271"/>
      <c r="Z32" s="271"/>
      <c r="AB32" s="273" t="str">
        <f t="shared" si="5"/>
        <v>GoldZhongyuan Gold Smelter of Zhongjin Gold Corporation</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723AB86-E91C-42E5-98B7-6ABA4FCB87E3}"/>
    </customSheetView>
  </customSheetViews>
  <mergeCells count="3">
    <mergeCell ref="J2:O2"/>
    <mergeCell ref="B3:E3"/>
    <mergeCell ref="G3:I3"/>
  </mergeCells>
  <conditionalFormatting sqref="B586:B2504">
    <cfRule type="expression" dxfId="57" priority="38" stopIfTrue="1">
      <formula>IF(B586="",TRUE)</formula>
    </cfRule>
    <cfRule type="expression" dxfId="56" priority="49" stopIfTrue="1">
      <formula>IF(AND(COUNTIF(MetalSmelter,B586&amp;C586)=0,LEN(C586)&gt;0),TRUE,FALSE)</formula>
    </cfRule>
  </conditionalFormatting>
  <conditionalFormatting sqref="D586:D2504">
    <cfRule type="expression" dxfId="55" priority="32" stopIfTrue="1">
      <formula>IF(AND(LEN($C586)&gt;0,($C586&lt;&gt;"Smelter Not Listed")),1,0)</formula>
    </cfRule>
    <cfRule type="expression" dxfId="54" priority="57" stopIfTrue="1">
      <formula>IF(AND(D586="",$C586=$X$4),TRUE)</formula>
    </cfRule>
    <cfRule type="expression" dxfId="53" priority="58" stopIfTrue="1">
      <formula>IF(FIND("!",D586),TRUE)</formula>
    </cfRule>
  </conditionalFormatting>
  <conditionalFormatting sqref="G586:G2504">
    <cfRule type="expression" dxfId="52" priority="59" stopIfTrue="1">
      <formula>IF(FIND("Enter smelter details",G586),TRUE)</formula>
    </cfRule>
  </conditionalFormatting>
  <conditionalFormatting sqref="R586:R2505 E586:E2504">
    <cfRule type="expression" dxfId="51" priority="45" stopIfTrue="1">
      <formula>IF(AND(E586="",$C586=$X$4),TRUE)</formula>
    </cfRule>
    <cfRule type="expression" dxfId="50" priority="46" stopIfTrue="1">
      <formula>IF(FIND("!",E586),TRUE)</formula>
    </cfRule>
  </conditionalFormatting>
  <conditionalFormatting sqref="F586:F2504">
    <cfRule type="expression" dxfId="49" priority="36" stopIfTrue="1">
      <formula>IF(AND(LEN($A586)&gt;0,$A586&lt;&gt;$F586),TRUE,FALSE)</formula>
    </cfRule>
  </conditionalFormatting>
  <conditionalFormatting sqref="C586:C2504">
    <cfRule type="expression" dxfId="48" priority="35" stopIfTrue="1">
      <formula>IF(AND(B586&lt;&gt;"",C586=""),TRUE)</formula>
    </cfRule>
  </conditionalFormatting>
  <conditionalFormatting sqref="B21:B585 B5:B19">
    <cfRule type="expression" dxfId="47" priority="14" stopIfTrue="1">
      <formula>IF(B5="",TRUE)</formula>
    </cfRule>
    <cfRule type="expression" dxfId="46" priority="17" stopIfTrue="1">
      <formula>IF(AND(COUNTIF(MetalSmelter,B5&amp;C5)=0,LEN(C5)&gt;0),TRUE,FALSE)</formula>
    </cfRule>
  </conditionalFormatting>
  <conditionalFormatting sqref="D5:D19 D21:D585">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G21:G585">
    <cfRule type="expression" dxfId="42" priority="20" stopIfTrue="1">
      <formula>IF(FIND("Enter smelter details",G5),TRUE)</formula>
    </cfRule>
  </conditionalFormatting>
  <conditionalFormatting sqref="R5:R585 E5:E19 E21:E585">
    <cfRule type="expression" dxfId="41" priority="15" stopIfTrue="1">
      <formula>IF(AND(E5="",$C5=$X$4),TRUE)</formula>
    </cfRule>
    <cfRule type="expression" dxfId="40" priority="16" stopIfTrue="1">
      <formula>IF(FIND("!",E5),TRUE)</formula>
    </cfRule>
  </conditionalFormatting>
  <conditionalFormatting sqref="F5:F19 F21:F585">
    <cfRule type="expression" dxfId="39" priority="13" stopIfTrue="1">
      <formula>IF(AND(LEN($A5)&gt;0,$A5&lt;&gt;$F5),TRUE,FALSE)</formula>
    </cfRule>
  </conditionalFormatting>
  <conditionalFormatting sqref="C21:C585 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JVL Industri Elektronik A/S</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All products produced by JVL A/S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Jakob Andersen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jva@jvl.dk</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+45 4594 0551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Jakob Andersen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jva@jvl.dk</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44595</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https://www.jvl.dk/319/other-documents</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No</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List'!AB$5:AB$2504,"Tungsten?*")&gt;0),0,1)</f>
        <v>1</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Jakob V. Andersen</cp:lastModifiedBy>
  <cp:lastPrinted>2015-04-21T20:47:43Z</cp:lastPrinted>
  <dcterms:created xsi:type="dcterms:W3CDTF">2010-06-21T21:00:23Z</dcterms:created>
  <dcterms:modified xsi:type="dcterms:W3CDTF">2022-02-03T11:00:11Z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